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00-UFFS\COMISSÃO\PLANEJAMENTO 2025\"/>
    </mc:Choice>
  </mc:AlternateContent>
  <bookViews>
    <workbookView xWindow="-120" yWindow="-120" windowWidth="20730" windowHeight="11040" tabRatio="943" firstSheet="1" activeTab="1"/>
  </bookViews>
  <sheets>
    <sheet name="AUX2" sheetId="27" state="hidden" r:id="rId1"/>
    <sheet name="INSTRUÇÕES" sheetId="31" r:id="rId2"/>
    <sheet name="IDENTIFICAÇÃO" sheetId="32" r:id="rId3"/>
    <sheet name="VIAGENS e DESLOCAMENTOS" sheetId="33" r:id="rId4"/>
    <sheet name="EVENTOS" sheetId="26" r:id="rId5"/>
    <sheet name="FUNCIONAMENTO" sheetId="29" r:id="rId6"/>
  </sheets>
  <externalReferences>
    <externalReference r:id="rId7"/>
  </externalReferences>
  <definedNames>
    <definedName name="__shared_10_0_0" localSheetId="3">#REF!</definedName>
    <definedName name="__shared_10_0_0">#REF!</definedName>
    <definedName name="__shared_10_1_0" localSheetId="3">#REF!</definedName>
    <definedName name="__shared_10_1_0">#REF!</definedName>
    <definedName name="__shared_10_2_0" localSheetId="3">IF(#REF!=0,"",#REF!*#REF!)</definedName>
    <definedName name="__shared_10_2_0">IF(#REF!=0,"",#REF!*#REF!)</definedName>
    <definedName name="__shared_10_3_0" localSheetId="3">#REF!</definedName>
    <definedName name="__shared_10_3_0">#REF!</definedName>
    <definedName name="__shared_10_4_0" localSheetId="3">IF(#REF!=0,"",#REF!*#REF!)</definedName>
    <definedName name="__shared_10_4_0">IF(#REF!=0,"",#REF!*#REF!)</definedName>
    <definedName name="__shared_11_0_0">#REF!</definedName>
    <definedName name="__shared_11_1_0">#REF!</definedName>
    <definedName name="__shared_11_2_0" localSheetId="3">IF(#REF!=0,"",#REF!*#REF!)</definedName>
    <definedName name="__shared_11_2_0">IF(#REF!=0,"",#REF!*#REF!)</definedName>
    <definedName name="__shared_11_3_0">#REF!</definedName>
    <definedName name="__shared_11_4_0" localSheetId="3">IF(#REF!=0,"",#REF!*#REF!)</definedName>
    <definedName name="__shared_11_4_0">IF(#REF!=0,"",#REF!*#REF!)</definedName>
    <definedName name="__shared_12_0_0">#REF!</definedName>
    <definedName name="__shared_12_1_0">#REF!</definedName>
    <definedName name="__shared_12_2_0" localSheetId="3">IF(#REF!=0,"",#REF!*#REF!)</definedName>
    <definedName name="__shared_12_2_0">IF(#REF!=0,"",#REF!*#REF!)</definedName>
    <definedName name="__shared_12_3_0">#REF!</definedName>
    <definedName name="__shared_12_4_0" localSheetId="3">IF(#REF!=0,"",#REF!*#REF!)</definedName>
    <definedName name="__shared_12_4_0">IF(#REF!=0,"",#REF!*#REF!)</definedName>
    <definedName name="__shared_2_0_0">#REF!</definedName>
    <definedName name="__shared_2_1_0">#REF!</definedName>
    <definedName name="__shared_2_2_0">IF(#REF!=0,"",#REF!*#REF!)</definedName>
    <definedName name="__shared_2_3_0">#REF!</definedName>
    <definedName name="__shared_2_4_0">#REF!</definedName>
    <definedName name="__shared_2_5_0">#REF!</definedName>
    <definedName name="__shared_2_6_0">#REF!</definedName>
    <definedName name="__shared_2_7_0">#REF!</definedName>
    <definedName name="__shared_2_8_0">IF(#REF!=0,"",#REF!*#REF!)</definedName>
    <definedName name="__shared_3_0_0">#REF!</definedName>
    <definedName name="__shared_3_1_0">#REF!</definedName>
    <definedName name="__shared_3_2_0">IF(#REF!=0,"",#REF!*#REF!)</definedName>
    <definedName name="__shared_3_3_0">#REF!</definedName>
    <definedName name="__shared_3_4_0">IF(#REF!=0,"",#REF!*#REF!)</definedName>
    <definedName name="__shared_4_0_0">#REF!</definedName>
    <definedName name="__shared_4_1_0">#REF!</definedName>
    <definedName name="__shared_4_2_0">IF(#REF!=0,"",#REF!*#REF!)</definedName>
    <definedName name="__shared_4_3_0">#REF!</definedName>
    <definedName name="__shared_4_4_0">IF(#REF!=0,"",#REF!*#REF!)</definedName>
    <definedName name="__shared_5_0_0">#REF!</definedName>
    <definedName name="__shared_5_1_0">#REF!</definedName>
    <definedName name="__shared_5_2_0">IF(#REF!=0,"",#REF!*#REF!)</definedName>
    <definedName name="__shared_5_3_0">#REF!</definedName>
    <definedName name="__shared_5_4_0">IF(#REF!=0,"",#REF!*#REF!)</definedName>
    <definedName name="__shared_6_0_0">#REF!</definedName>
    <definedName name="__shared_6_1_0">#REF!</definedName>
    <definedName name="__shared_6_2_0">IF(#REF!=0,"",#REF!*#REF!)</definedName>
    <definedName name="__shared_6_3_0">#REF!</definedName>
    <definedName name="__shared_6_4_0">IF(#REF!=0,"",#REF!*#REF!)</definedName>
    <definedName name="__shared_7_0_0">#REF!</definedName>
    <definedName name="__shared_7_1_0">#REF!</definedName>
    <definedName name="__shared_7_2_0">IF(#REF!=0,"",#REF!*#REF!)</definedName>
    <definedName name="__shared_7_3_0">#REF!</definedName>
    <definedName name="__shared_7_4_0">IF(#REF!=0,"",#REF!*#REF!)</definedName>
    <definedName name="__shared_8_0_0">#REF!</definedName>
    <definedName name="__shared_8_1_0">#REF!</definedName>
    <definedName name="__shared_8_2_0">IF(#REF!=0,"",#REF!*#REF!)</definedName>
    <definedName name="__shared_8_3_0">#REF!</definedName>
    <definedName name="__shared_8_4_0">IF(#REF!=0,"",#REF!*#REF!)</definedName>
    <definedName name="__shared_9_0_0">#REF!</definedName>
    <definedName name="__shared_9_1_0">#REF!</definedName>
    <definedName name="__shared_9_2_0">IF(#REF!=0,"",#REF!*#REF!)</definedName>
    <definedName name="__shared_9_3_0">#REF!</definedName>
    <definedName name="__shared_9_4_0">IF(#REF!=0,"",#REF!*#REF!)</definedName>
    <definedName name="_shared_10_101">#REF!</definedName>
    <definedName name="_shared_10_102">#REF!</definedName>
    <definedName name="_shared_10_103">IF(#REF!=0,"",#REF!*#REF!)</definedName>
    <definedName name="_shared_10_104">#REF!</definedName>
    <definedName name="_shared_10_105">IF(#REF!=0,"",#REF!*#REF!)</definedName>
    <definedName name="_shared_10_106">IF(#REF!=0,"",#REF!*#REF!)</definedName>
    <definedName name="_shared_10_107">IF(#REF!=0,"",#REF!*#REF!)</definedName>
    <definedName name="_shared_10_108">IF(#REF!=0,"",#REF!*#REF!)</definedName>
    <definedName name="_shared_10_109">IF(#REF!=0,"",#REF!*#REF!)</definedName>
    <definedName name="_xlnm.Print_Area" localSheetId="1">INSTRUÇÕES!$A$1:$L$184</definedName>
    <definedName name="ATV">NA()</definedName>
    <definedName name="BENEFICIARIO">[1]CCH001!$A$200:$A$202</definedName>
    <definedName name="Diárias">"#ref!"</definedName>
    <definedName name="OBJETIVOS">[1]CCH001!$A$205:$A$217</definedName>
    <definedName name="Passagens">"#ref!"</definedName>
    <definedName name="QDIARIAS">[1]CCH001!$D$206:$D$216</definedName>
    <definedName name="SegmentaçãodeDados_A_Empenhar" localSheetId="0">#REF!</definedName>
    <definedName name="SegmentaçãodeDados_A_Empenhar" localSheetId="4">#REF!</definedName>
    <definedName name="SegmentaçãodeDados_A_Empenhar" localSheetId="5">#REF!</definedName>
    <definedName name="SegmentaçãodeDados_A_Empenhar" localSheetId="2">#REF!</definedName>
    <definedName name="SegmentaçãodeDados_A_Empenhar" localSheetId="1">#REF!</definedName>
    <definedName name="SegmentaçãodeDados_A_Empenhar">#REF!</definedName>
    <definedName name="SegmentaçãodeDados_A_Empenhar1" localSheetId="0">#REF!</definedName>
    <definedName name="SegmentaçãodeDados_A_Empenhar1" localSheetId="4">#REF!</definedName>
    <definedName name="SegmentaçãodeDados_A_Empenhar1" localSheetId="5">#REF!</definedName>
    <definedName name="SegmentaçãodeDados_A_Empenhar1" localSheetId="2">#REF!</definedName>
    <definedName name="SegmentaçãodeDados_A_Empenhar1" localSheetId="1">#REF!</definedName>
    <definedName name="SegmentaçãodeDados_A_Empenhar1">#REF!</definedName>
    <definedName name="SegmentaçãodeDados_Ação_Governo" localSheetId="0">#REF!</definedName>
    <definedName name="SegmentaçãodeDados_Ação_Governo" localSheetId="4">#REF!</definedName>
    <definedName name="SegmentaçãodeDados_Ação_Governo" localSheetId="5">#REF!</definedName>
    <definedName name="SegmentaçãodeDados_Ação_Governo" localSheetId="2">#REF!</definedName>
    <definedName name="SegmentaçãodeDados_Ação_Governo" localSheetId="1">#REF!</definedName>
    <definedName name="SegmentaçãodeDados_Ação_Governo">#REF!</definedName>
    <definedName name="SegmentaçãodeDados_favorecido_nome" localSheetId="0">#REF!</definedName>
    <definedName name="SegmentaçãodeDados_favorecido_nome" localSheetId="4">#REF!</definedName>
    <definedName name="SegmentaçãodeDados_favorecido_nome" localSheetId="5">#REF!</definedName>
    <definedName name="SegmentaçãodeDados_favorecido_nome" localSheetId="2">#REF!</definedName>
    <definedName name="SegmentaçãodeDados_favorecido_nome" localSheetId="1">#REF!</definedName>
    <definedName name="SegmentaçãodeDados_favorecido_nome">#REF!</definedName>
    <definedName name="SegmentaçãodeDados_GD_nome" localSheetId="0">#REF!</definedName>
    <definedName name="SegmentaçãodeDados_GD_nome" localSheetId="4">#REF!</definedName>
    <definedName name="SegmentaçãodeDados_GD_nome" localSheetId="5">#REF!</definedName>
    <definedName name="SegmentaçãodeDados_GD_nome" localSheetId="2">#REF!</definedName>
    <definedName name="SegmentaçãodeDados_GD_nome" localSheetId="1">#REF!</definedName>
    <definedName name="SegmentaçãodeDados_GD_nome">#REF!</definedName>
    <definedName name="SegmentaçãodeDados_GND" localSheetId="0">#REF!</definedName>
    <definedName name="SegmentaçãodeDados_GND" localSheetId="4">#REF!</definedName>
    <definedName name="SegmentaçãodeDados_GND" localSheetId="5">#REF!</definedName>
    <definedName name="SegmentaçãodeDados_GND" localSheetId="2">#REF!</definedName>
    <definedName name="SegmentaçãodeDados_GND" localSheetId="1">#REF!</definedName>
    <definedName name="SegmentaçãodeDados_GND">#REF!</definedName>
    <definedName name="SegmentaçãodeDados_Orç_Executado____Emp__Planejado_Disponível" localSheetId="0">#REF!</definedName>
    <definedName name="SegmentaçãodeDados_Orç_Executado____Emp__Planejado_Disponível" localSheetId="4">#REF!</definedName>
    <definedName name="SegmentaçãodeDados_Orç_Executado____Emp__Planejado_Disponível" localSheetId="5">#REF!</definedName>
    <definedName name="SegmentaçãodeDados_Orç_Executado____Emp__Planejado_Disponível" localSheetId="2">#REF!</definedName>
    <definedName name="SegmentaçãodeDados_Orç_Executado____Emp__Planejado_Disponível" localSheetId="1">#REF!</definedName>
    <definedName name="SegmentaçãodeDados_Orç_Executado____Emp__Planejado_Disponível">#REF!</definedName>
    <definedName name="SegmentaçãodeDados_PI" localSheetId="0">#REF!</definedName>
    <definedName name="SegmentaçãodeDados_PI" localSheetId="4">#REF!</definedName>
    <definedName name="SegmentaçãodeDados_PI" localSheetId="5">#REF!</definedName>
    <definedName name="SegmentaçãodeDados_PI" localSheetId="2">#REF!</definedName>
    <definedName name="SegmentaçãodeDados_PI" localSheetId="1">#REF!</definedName>
    <definedName name="SegmentaçãodeDados_PI">#REF!</definedName>
    <definedName name="SegmentaçãodeDados_pi_nome" localSheetId="0">#REF!</definedName>
    <definedName name="SegmentaçãodeDados_pi_nome" localSheetId="4">#REF!</definedName>
    <definedName name="SegmentaçãodeDados_pi_nome" localSheetId="5">#REF!</definedName>
    <definedName name="SegmentaçãodeDados_pi_nome" localSheetId="2">#REF!</definedName>
    <definedName name="SegmentaçãodeDados_pi_nome" localSheetId="1">#REF!</definedName>
    <definedName name="SegmentaçãodeDados_pi_nome">#REF!</definedName>
    <definedName name="SegmentaçãodeDados_PI_Planos_Internos_2021___Código" localSheetId="0">#REF!</definedName>
    <definedName name="SegmentaçãodeDados_PI_Planos_Internos_2021___Código" localSheetId="4">#REF!</definedName>
    <definedName name="SegmentaçãodeDados_PI_Planos_Internos_2021___Código" localSheetId="5">#REF!</definedName>
    <definedName name="SegmentaçãodeDados_PI_Planos_Internos_2021___Código" localSheetId="2">#REF!</definedName>
    <definedName name="SegmentaçãodeDados_PI_Planos_Internos_2021___Código" localSheetId="1">#REF!</definedName>
    <definedName name="SegmentaçãodeDados_PI_Planos_Internos_2021___Código">#REF!</definedName>
    <definedName name="SegmentaçãodeDados_PI_Planos_Internos_2021___Nome" localSheetId="0">#REF!</definedName>
    <definedName name="SegmentaçãodeDados_PI_Planos_Internos_2021___Nome" localSheetId="4">#REF!</definedName>
    <definedName name="SegmentaçãodeDados_PI_Planos_Internos_2021___Nome" localSheetId="5">#REF!</definedName>
    <definedName name="SegmentaçãodeDados_PI_Planos_Internos_2021___Nome" localSheetId="2">#REF!</definedName>
    <definedName name="SegmentaçãodeDados_PI_Planos_Internos_2021___Nome" localSheetId="1">#REF!</definedName>
    <definedName name="SegmentaçãodeDados_PI_Planos_Internos_2021___Nome">#REF!</definedName>
    <definedName name="SegmentaçãodeDados_plano_ação_cód__até_11caracteres" localSheetId="0">#REF!</definedName>
    <definedName name="SegmentaçãodeDados_plano_ação_cód__até_11caracteres" localSheetId="4">#REF!</definedName>
    <definedName name="SegmentaçãodeDados_plano_ação_cód__até_11caracteres" localSheetId="5">#REF!</definedName>
    <definedName name="SegmentaçãodeDados_plano_ação_cód__até_11caracteres" localSheetId="2">#REF!</definedName>
    <definedName name="SegmentaçãodeDados_plano_ação_cód__até_11caracteres" localSheetId="1">#REF!</definedName>
    <definedName name="SegmentaçãodeDados_plano_ação_cód__até_11caracteres">#REF!</definedName>
    <definedName name="SegmentaçãodeDados_plano_ação_nome" localSheetId="0">#REF!</definedName>
    <definedName name="SegmentaçãodeDados_plano_ação_nome" localSheetId="4">#REF!</definedName>
    <definedName name="SegmentaçãodeDados_plano_ação_nome" localSheetId="5">#REF!</definedName>
    <definedName name="SegmentaçãodeDados_plano_ação_nome" localSheetId="2">#REF!</definedName>
    <definedName name="SegmentaçãodeDados_plano_ação_nome" localSheetId="1">#REF!</definedName>
    <definedName name="SegmentaçãodeDados_plano_ação_nome">#REF!</definedName>
    <definedName name="SegmentaçãodeDados_PTRES" localSheetId="0">#REF!</definedName>
    <definedName name="SegmentaçãodeDados_PTRES" localSheetId="4">#REF!</definedName>
    <definedName name="SegmentaçãodeDados_PTRES" localSheetId="5">#REF!</definedName>
    <definedName name="SegmentaçãodeDados_PTRES" localSheetId="2">#REF!</definedName>
    <definedName name="SegmentaçãodeDados_PTRES" localSheetId="1">#REF!</definedName>
    <definedName name="SegmentaçãodeDados_PTRES">#REF!</definedName>
    <definedName name="SegmentaçãodeDados_ug_r_nome" localSheetId="0">#REF!</definedName>
    <definedName name="SegmentaçãodeDados_ug_r_nome" localSheetId="4">#REF!</definedName>
    <definedName name="SegmentaçãodeDados_ug_r_nome" localSheetId="5">#REF!</definedName>
    <definedName name="SegmentaçãodeDados_ug_r_nome" localSheetId="2">#REF!</definedName>
    <definedName name="SegmentaçãodeDados_ug_r_nome" localSheetId="1">#REF!</definedName>
    <definedName name="SegmentaçãodeDados_ug_r_nome">#REF!</definedName>
    <definedName name="SegmentaçãodeDados_Unidade_Nivel_1__Campi_x_Reitoria" localSheetId="0">#REF!</definedName>
    <definedName name="SegmentaçãodeDados_Unidade_Nivel_1__Campi_x_Reitoria" localSheetId="4">#REF!</definedName>
    <definedName name="SegmentaçãodeDados_Unidade_Nivel_1__Campi_x_Reitoria" localSheetId="5">#REF!</definedName>
    <definedName name="SegmentaçãodeDados_Unidade_Nivel_1__Campi_x_Reitoria" localSheetId="2">#REF!</definedName>
    <definedName name="SegmentaçãodeDados_Unidade_Nivel_1__Campi_x_Reitoria" localSheetId="1">#REF!</definedName>
    <definedName name="SegmentaçãodeDados_Unidade_Nivel_1__Campi_x_Reitoria">#REF!</definedName>
    <definedName name="SegmentaçãodeDados_Unidade_Nivel_2___Campus_ou_Gabinte__Pró_Reitoria_ou_Secretaria" localSheetId="0">#REF!</definedName>
    <definedName name="SegmentaçãodeDados_Unidade_Nivel_2___Campus_ou_Gabinte__Pró_Reitoria_ou_Secretaria" localSheetId="4">#REF!</definedName>
    <definedName name="SegmentaçãodeDados_Unidade_Nivel_2___Campus_ou_Gabinte__Pró_Reitoria_ou_Secretaria" localSheetId="5">#REF!</definedName>
    <definedName name="SegmentaçãodeDados_Unidade_Nivel_2___Campus_ou_Gabinte__Pró_Reitoria_ou_Secretaria" localSheetId="2">#REF!</definedName>
    <definedName name="SegmentaçãodeDados_Unidade_Nivel_2___Campus_ou_Gabinte__Pró_Reitoria_ou_Secretaria" localSheetId="1">#REF!</definedName>
    <definedName name="SegmentaçãodeDados_Unidade_Nivel_2___Campus_ou_Gabinte__Pró_Reitoria_ou_Secretaria">#REF!</definedName>
    <definedName name="TIPO">"$#REF!.$C$176:$C$186"</definedName>
    <definedName name="TIPODEDIARIA">[1]CCH001!$L$61:$L$69</definedName>
    <definedName name="TIPOMATERIAL">"$#REF!.$C$148:$C$153"</definedName>
    <definedName name="TRANSPORTE">[1]CCH001!$L$112:$L$116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8" i="33" l="1"/>
  <c r="BY8" i="33"/>
  <c r="BZ8" i="33"/>
  <c r="CA8" i="33"/>
  <c r="CF8" i="33" s="1"/>
  <c r="CD8" i="33"/>
  <c r="CE8" i="33"/>
  <c r="CG8" i="33"/>
  <c r="BX9" i="33"/>
  <c r="BY9" i="33"/>
  <c r="BZ9" i="33"/>
  <c r="CA9" i="33"/>
  <c r="CF9" i="33" s="1"/>
  <c r="CB9" i="33"/>
  <c r="CC9" i="33"/>
  <c r="CD9" i="33"/>
  <c r="CE9" i="33"/>
  <c r="CG9" i="33"/>
  <c r="BX10" i="33"/>
  <c r="BY10" i="33"/>
  <c r="BZ10" i="33"/>
  <c r="CA10" i="33"/>
  <c r="CB10" i="33" s="1"/>
  <c r="CD10" i="33"/>
  <c r="CG10" i="33" s="1"/>
  <c r="BX11" i="33"/>
  <c r="BY11" i="33"/>
  <c r="BZ11" i="33"/>
  <c r="CA11" i="33"/>
  <c r="CB11" i="33" s="1"/>
  <c r="CD11" i="33"/>
  <c r="CG11" i="33"/>
  <c r="BX12" i="33"/>
  <c r="BY12" i="33"/>
  <c r="BZ12" i="33"/>
  <c r="CA12" i="33"/>
  <c r="CF12" i="33" s="1"/>
  <c r="CD12" i="33"/>
  <c r="CE12" i="33"/>
  <c r="CG12" i="33"/>
  <c r="BX13" i="33"/>
  <c r="BY13" i="33"/>
  <c r="BZ13" i="33"/>
  <c r="CA13" i="33"/>
  <c r="CB13" i="33"/>
  <c r="CC13" i="33"/>
  <c r="CD13" i="33"/>
  <c r="CE13" i="33"/>
  <c r="CF13" i="33"/>
  <c r="CG13" i="33"/>
  <c r="BX14" i="33"/>
  <c r="BY14" i="33"/>
  <c r="BZ14" i="33"/>
  <c r="CA14" i="33"/>
  <c r="CB14" i="33" s="1"/>
  <c r="CD14" i="33"/>
  <c r="CG14" i="33" s="1"/>
  <c r="BX15" i="33"/>
  <c r="BY15" i="33"/>
  <c r="BZ15" i="33"/>
  <c r="CA15" i="33"/>
  <c r="CB15" i="33" s="1"/>
  <c r="CD15" i="33"/>
  <c r="CG15" i="33"/>
  <c r="BX16" i="33"/>
  <c r="BY16" i="33"/>
  <c r="BZ16" i="33"/>
  <c r="CA16" i="33"/>
  <c r="CF16" i="33" s="1"/>
  <c r="CD16" i="33"/>
  <c r="CE16" i="33"/>
  <c r="CG16" i="33"/>
  <c r="BX17" i="33"/>
  <c r="BY17" i="33"/>
  <c r="BZ17" i="33"/>
  <c r="CA17" i="33"/>
  <c r="CB17" i="33"/>
  <c r="CC17" i="33"/>
  <c r="CD17" i="33"/>
  <c r="CE17" i="33"/>
  <c r="CF17" i="33"/>
  <c r="CG17" i="33"/>
  <c r="BX18" i="33"/>
  <c r="BY18" i="33"/>
  <c r="BZ18" i="33"/>
  <c r="CA18" i="33"/>
  <c r="CB18" i="33" s="1"/>
  <c r="CD18" i="33"/>
  <c r="CG18" i="33" s="1"/>
  <c r="BX19" i="33"/>
  <c r="BY19" i="33"/>
  <c r="BZ19" i="33"/>
  <c r="CA19" i="33"/>
  <c r="CB19" i="33" s="1"/>
  <c r="CD19" i="33"/>
  <c r="CG19" i="33"/>
  <c r="BX20" i="33"/>
  <c r="BY20" i="33"/>
  <c r="BZ20" i="33"/>
  <c r="CA20" i="33"/>
  <c r="CF20" i="33" s="1"/>
  <c r="CD20" i="33"/>
  <c r="CE20" i="33"/>
  <c r="CG20" i="33"/>
  <c r="BX21" i="33"/>
  <c r="BY21" i="33"/>
  <c r="BZ21" i="33"/>
  <c r="CA21" i="33"/>
  <c r="CB21" i="33"/>
  <c r="CC21" i="33"/>
  <c r="CD21" i="33"/>
  <c r="CE21" i="33"/>
  <c r="CF21" i="33"/>
  <c r="CG21" i="33"/>
  <c r="BX22" i="33"/>
  <c r="BY22" i="33"/>
  <c r="BZ22" i="33"/>
  <c r="CA22" i="33"/>
  <c r="CB22" i="33" s="1"/>
  <c r="CD22" i="33"/>
  <c r="CG22" i="33" s="1"/>
  <c r="BX23" i="33"/>
  <c r="BY23" i="33"/>
  <c r="BZ23" i="33"/>
  <c r="CA23" i="33"/>
  <c r="CB23" i="33" s="1"/>
  <c r="CD23" i="33"/>
  <c r="CG23" i="33"/>
  <c r="BX24" i="33"/>
  <c r="BY24" i="33"/>
  <c r="BZ24" i="33"/>
  <c r="CA24" i="33"/>
  <c r="CF24" i="33" s="1"/>
  <c r="CD24" i="33"/>
  <c r="CE24" i="33"/>
  <c r="CG24" i="33"/>
  <c r="BX25" i="33"/>
  <c r="BY25" i="33"/>
  <c r="BZ25" i="33"/>
  <c r="CA25" i="33"/>
  <c r="CB25" i="33"/>
  <c r="CC25" i="33"/>
  <c r="CD25" i="33"/>
  <c r="CE25" i="33"/>
  <c r="CF25" i="33"/>
  <c r="CG25" i="33"/>
  <c r="BX26" i="33"/>
  <c r="BY26" i="33"/>
  <c r="BZ26" i="33"/>
  <c r="CA26" i="33"/>
  <c r="CB26" i="33" s="1"/>
  <c r="CD26" i="33"/>
  <c r="CG26" i="33" s="1"/>
  <c r="BX27" i="33"/>
  <c r="BY27" i="33"/>
  <c r="BZ27" i="33"/>
  <c r="CA27" i="33"/>
  <c r="CB27" i="33" s="1"/>
  <c r="CD27" i="33"/>
  <c r="CG27" i="33"/>
  <c r="BX28" i="33"/>
  <c r="BY28" i="33"/>
  <c r="BZ28" i="33"/>
  <c r="CA28" i="33"/>
  <c r="CF28" i="33" s="1"/>
  <c r="CD28" i="33"/>
  <c r="CE28" i="33"/>
  <c r="CG28" i="33"/>
  <c r="BX29" i="33"/>
  <c r="BY29" i="33"/>
  <c r="BZ29" i="33"/>
  <c r="CA29" i="33"/>
  <c r="CB29" i="33"/>
  <c r="CC29" i="33"/>
  <c r="CD29" i="33"/>
  <c r="CE29" i="33"/>
  <c r="CF29" i="33"/>
  <c r="CG29" i="33"/>
  <c r="BX30" i="33"/>
  <c r="BY30" i="33"/>
  <c r="BZ30" i="33"/>
  <c r="CA30" i="33"/>
  <c r="CB30" i="33" s="1"/>
  <c r="CC30" i="33"/>
  <c r="CD30" i="33"/>
  <c r="CG30" i="33" s="1"/>
  <c r="BX31" i="33"/>
  <c r="BY31" i="33"/>
  <c r="BZ31" i="33"/>
  <c r="CA31" i="33"/>
  <c r="CB31" i="33" s="1"/>
  <c r="CD31" i="33"/>
  <c r="CG31" i="33"/>
  <c r="BX32" i="33"/>
  <c r="BY32" i="33"/>
  <c r="BZ32" i="33"/>
  <c r="CA32" i="33"/>
  <c r="CF32" i="33" s="1"/>
  <c r="CD32" i="33"/>
  <c r="CE32" i="33"/>
  <c r="CG32" i="33"/>
  <c r="BX33" i="33"/>
  <c r="BY33" i="33"/>
  <c r="BZ33" i="33"/>
  <c r="CA33" i="33"/>
  <c r="CB33" i="33"/>
  <c r="CC33" i="33"/>
  <c r="CD33" i="33"/>
  <c r="CE33" i="33"/>
  <c r="CF33" i="33"/>
  <c r="CG33" i="33"/>
  <c r="BX34" i="33"/>
  <c r="BY34" i="33"/>
  <c r="BZ34" i="33"/>
  <c r="CA34" i="33"/>
  <c r="CB34" i="33" s="1"/>
  <c r="CC34" i="33"/>
  <c r="CD34" i="33"/>
  <c r="CG34" i="33" s="1"/>
  <c r="BX35" i="33"/>
  <c r="BY35" i="33"/>
  <c r="BZ35" i="33"/>
  <c r="CA35" i="33"/>
  <c r="CB35" i="33" s="1"/>
  <c r="CD35" i="33"/>
  <c r="CG35" i="33"/>
  <c r="BX36" i="33"/>
  <c r="BY36" i="33"/>
  <c r="BZ36" i="33"/>
  <c r="CA36" i="33"/>
  <c r="CF36" i="33" s="1"/>
  <c r="CD36" i="33"/>
  <c r="CE36" i="33"/>
  <c r="CG36" i="33"/>
  <c r="CF7" i="33"/>
  <c r="CE7" i="33"/>
  <c r="CB7" i="33"/>
  <c r="BZ7" i="33"/>
  <c r="BM8" i="33"/>
  <c r="BN8" i="33"/>
  <c r="BU8" i="33" s="1"/>
  <c r="BO8" i="33"/>
  <c r="BP8" i="33" s="1"/>
  <c r="BR8" i="33"/>
  <c r="BS8" i="33" s="1"/>
  <c r="BV8" i="33" s="1"/>
  <c r="BM9" i="33"/>
  <c r="BN9" i="33"/>
  <c r="BO9" i="33"/>
  <c r="BP9" i="33" s="1"/>
  <c r="BR9" i="33"/>
  <c r="BS9" i="33" s="1"/>
  <c r="BV9" i="33" s="1"/>
  <c r="BT9" i="33"/>
  <c r="BU9" i="33"/>
  <c r="BM10" i="33"/>
  <c r="BN10" i="33"/>
  <c r="BO10" i="33"/>
  <c r="BP10" i="33"/>
  <c r="BQ10" i="33"/>
  <c r="BR10" i="33"/>
  <c r="BS10" i="33"/>
  <c r="BV10" i="33" s="1"/>
  <c r="BT10" i="33"/>
  <c r="BU10" i="33"/>
  <c r="BM11" i="33"/>
  <c r="BN11" i="33"/>
  <c r="BU11" i="33" s="1"/>
  <c r="BO11" i="33"/>
  <c r="BT11" i="33" s="1"/>
  <c r="BP11" i="33"/>
  <c r="BQ11" i="33"/>
  <c r="BR11" i="33"/>
  <c r="BS11" i="33"/>
  <c r="BV11" i="33"/>
  <c r="BM12" i="33"/>
  <c r="BN12" i="33"/>
  <c r="BU12" i="33" s="1"/>
  <c r="BO12" i="33"/>
  <c r="BP12" i="33" s="1"/>
  <c r="BR12" i="33"/>
  <c r="BS12" i="33" s="1"/>
  <c r="BV12" i="33" s="1"/>
  <c r="BM13" i="33"/>
  <c r="BN13" i="33"/>
  <c r="BO13" i="33"/>
  <c r="BP13" i="33" s="1"/>
  <c r="BR13" i="33"/>
  <c r="BS13" i="33" s="1"/>
  <c r="BV13" i="33" s="1"/>
  <c r="BT13" i="33"/>
  <c r="BU13" i="33"/>
  <c r="BM14" i="33"/>
  <c r="BN14" i="33"/>
  <c r="BO14" i="33"/>
  <c r="BP14" i="33"/>
  <c r="BQ14" i="33"/>
  <c r="BR14" i="33"/>
  <c r="BS14" i="33"/>
  <c r="BV14" i="33" s="1"/>
  <c r="BT14" i="33"/>
  <c r="BU14" i="33"/>
  <c r="BM15" i="33"/>
  <c r="BN15" i="33"/>
  <c r="BU15" i="33" s="1"/>
  <c r="BO15" i="33"/>
  <c r="BT15" i="33" s="1"/>
  <c r="BP15" i="33"/>
  <c r="BQ15" i="33"/>
  <c r="BR15" i="33"/>
  <c r="BS15" i="33"/>
  <c r="BV15" i="33"/>
  <c r="BM16" i="33"/>
  <c r="BN16" i="33"/>
  <c r="BU16" i="33" s="1"/>
  <c r="BO16" i="33"/>
  <c r="BP16" i="33" s="1"/>
  <c r="BR16" i="33"/>
  <c r="BS16" i="33"/>
  <c r="BV16" i="33"/>
  <c r="BM17" i="33"/>
  <c r="BN17" i="33"/>
  <c r="BO17" i="33"/>
  <c r="BP17" i="33" s="1"/>
  <c r="BR17" i="33"/>
  <c r="BS17" i="33" s="1"/>
  <c r="BV17" i="33" s="1"/>
  <c r="BT17" i="33"/>
  <c r="BU17" i="33"/>
  <c r="BM18" i="33"/>
  <c r="BN18" i="33"/>
  <c r="BO18" i="33"/>
  <c r="BT18" i="33" s="1"/>
  <c r="BP18" i="33"/>
  <c r="BQ18" i="33"/>
  <c r="BR18" i="33"/>
  <c r="BS18" i="33"/>
  <c r="BV18" i="33" s="1"/>
  <c r="BU18" i="33"/>
  <c r="BM19" i="33"/>
  <c r="BN19" i="33"/>
  <c r="BU19" i="33" s="1"/>
  <c r="BO19" i="33"/>
  <c r="BT19" i="33" s="1"/>
  <c r="BP19" i="33"/>
  <c r="BQ19" i="33"/>
  <c r="BR19" i="33"/>
  <c r="BS19" i="33"/>
  <c r="BV19" i="33"/>
  <c r="BM20" i="33"/>
  <c r="BN20" i="33"/>
  <c r="BU20" i="33" s="1"/>
  <c r="BO20" i="33"/>
  <c r="BP20" i="33" s="1"/>
  <c r="BR20" i="33"/>
  <c r="BS20" i="33"/>
  <c r="BV20" i="33"/>
  <c r="BM21" i="33"/>
  <c r="BN21" i="33"/>
  <c r="BO21" i="33"/>
  <c r="BP21" i="33" s="1"/>
  <c r="BR21" i="33"/>
  <c r="BS21" i="33" s="1"/>
  <c r="BV21" i="33" s="1"/>
  <c r="BT21" i="33"/>
  <c r="BU21" i="33"/>
  <c r="BM22" i="33"/>
  <c r="BN22" i="33"/>
  <c r="BO22" i="33"/>
  <c r="BT22" i="33" s="1"/>
  <c r="BP22" i="33"/>
  <c r="BQ22" i="33"/>
  <c r="BR22" i="33"/>
  <c r="BS22" i="33"/>
  <c r="BV22" i="33" s="1"/>
  <c r="BU22" i="33"/>
  <c r="BM23" i="33"/>
  <c r="BN23" i="33"/>
  <c r="BU23" i="33" s="1"/>
  <c r="BO23" i="33"/>
  <c r="BT23" i="33" s="1"/>
  <c r="BP23" i="33"/>
  <c r="BQ23" i="33"/>
  <c r="BR23" i="33"/>
  <c r="BS23" i="33"/>
  <c r="BV23" i="33"/>
  <c r="BM24" i="33"/>
  <c r="BN24" i="33"/>
  <c r="BU24" i="33" s="1"/>
  <c r="BO24" i="33"/>
  <c r="BP24" i="33" s="1"/>
  <c r="BR24" i="33"/>
  <c r="BS24" i="33"/>
  <c r="BV24" i="33"/>
  <c r="BM25" i="33"/>
  <c r="BN25" i="33"/>
  <c r="BO25" i="33"/>
  <c r="BP25" i="33" s="1"/>
  <c r="BR25" i="33"/>
  <c r="BS25" i="33" s="1"/>
  <c r="BV25" i="33" s="1"/>
  <c r="BT25" i="33"/>
  <c r="BU25" i="33"/>
  <c r="BM26" i="33"/>
  <c r="BN26" i="33"/>
  <c r="BO26" i="33"/>
  <c r="BT26" i="33" s="1"/>
  <c r="BP26" i="33"/>
  <c r="BQ26" i="33"/>
  <c r="BR26" i="33"/>
  <c r="BS26" i="33"/>
  <c r="BV26" i="33" s="1"/>
  <c r="BU26" i="33"/>
  <c r="BM27" i="33"/>
  <c r="BN27" i="33"/>
  <c r="BU27" i="33" s="1"/>
  <c r="BO27" i="33"/>
  <c r="BT27" i="33" s="1"/>
  <c r="BP27" i="33"/>
  <c r="BQ27" i="33"/>
  <c r="BR27" i="33"/>
  <c r="BS27" i="33"/>
  <c r="BV27" i="33" s="1"/>
  <c r="BM28" i="33"/>
  <c r="BN28" i="33"/>
  <c r="BU28" i="33" s="1"/>
  <c r="BO28" i="33"/>
  <c r="BP28" i="33" s="1"/>
  <c r="BR28" i="33"/>
  <c r="BS28" i="33"/>
  <c r="BV28" i="33"/>
  <c r="BM29" i="33"/>
  <c r="BN29" i="33"/>
  <c r="BO29" i="33"/>
  <c r="BP29" i="33" s="1"/>
  <c r="BR29" i="33"/>
  <c r="BS29" i="33" s="1"/>
  <c r="BV29" i="33" s="1"/>
  <c r="BT29" i="33"/>
  <c r="BU29" i="33"/>
  <c r="BM30" i="33"/>
  <c r="BN30" i="33"/>
  <c r="BO30" i="33"/>
  <c r="BT30" i="33" s="1"/>
  <c r="BP30" i="33"/>
  <c r="BQ30" i="33"/>
  <c r="BR30" i="33"/>
  <c r="BS30" i="33"/>
  <c r="BV30" i="33" s="1"/>
  <c r="BU30" i="33"/>
  <c r="BM31" i="33"/>
  <c r="BN31" i="33"/>
  <c r="BU31" i="33" s="1"/>
  <c r="BO31" i="33"/>
  <c r="BT31" i="33" s="1"/>
  <c r="BP31" i="33"/>
  <c r="BQ31" i="33"/>
  <c r="BR31" i="33"/>
  <c r="BS31" i="33"/>
  <c r="BV31" i="33" s="1"/>
  <c r="BM32" i="33"/>
  <c r="BN32" i="33"/>
  <c r="BU32" i="33" s="1"/>
  <c r="BO32" i="33"/>
  <c r="BP32" i="33" s="1"/>
  <c r="BR32" i="33"/>
  <c r="BS32" i="33"/>
  <c r="BV32" i="33"/>
  <c r="BM33" i="33"/>
  <c r="BN33" i="33"/>
  <c r="BO33" i="33"/>
  <c r="BP33" i="33" s="1"/>
  <c r="BR33" i="33"/>
  <c r="BS33" i="33" s="1"/>
  <c r="BV33" i="33" s="1"/>
  <c r="BT33" i="33"/>
  <c r="BU33" i="33"/>
  <c r="BM34" i="33"/>
  <c r="BN34" i="33"/>
  <c r="BO34" i="33"/>
  <c r="BT34" i="33" s="1"/>
  <c r="BP34" i="33"/>
  <c r="BQ34" i="33"/>
  <c r="BR34" i="33"/>
  <c r="BS34" i="33"/>
  <c r="BV34" i="33" s="1"/>
  <c r="BU34" i="33"/>
  <c r="BM35" i="33"/>
  <c r="BN35" i="33"/>
  <c r="BU35" i="33" s="1"/>
  <c r="BO35" i="33"/>
  <c r="BT35" i="33" s="1"/>
  <c r="BP35" i="33"/>
  <c r="BQ35" i="33"/>
  <c r="BR35" i="33"/>
  <c r="BS35" i="33"/>
  <c r="BV35" i="33" s="1"/>
  <c r="BM36" i="33"/>
  <c r="BN36" i="33"/>
  <c r="BU36" i="33" s="1"/>
  <c r="BO36" i="33"/>
  <c r="BP36" i="33" s="1"/>
  <c r="BR36" i="33"/>
  <c r="BS36" i="33"/>
  <c r="BV36" i="33"/>
  <c r="BE8" i="33"/>
  <c r="BG8" i="33" s="1"/>
  <c r="BF8" i="33"/>
  <c r="BJ8" i="33"/>
  <c r="BE9" i="33"/>
  <c r="BH9" i="33" s="1"/>
  <c r="BK9" i="33" s="1"/>
  <c r="BF9" i="33"/>
  <c r="BG9" i="33"/>
  <c r="BJ9" i="33"/>
  <c r="BE10" i="33"/>
  <c r="BI10" i="33" s="1"/>
  <c r="BF10" i="33"/>
  <c r="BG10" i="33"/>
  <c r="BH10" i="33"/>
  <c r="BK10" i="33" s="1"/>
  <c r="BE11" i="33"/>
  <c r="BH11" i="33" s="1"/>
  <c r="BK11" i="33" s="1"/>
  <c r="BI11" i="33"/>
  <c r="BE12" i="33"/>
  <c r="BG12" i="33" s="1"/>
  <c r="BF12" i="33"/>
  <c r="BH12" i="33"/>
  <c r="BK12" i="33" s="1"/>
  <c r="BI12" i="33"/>
  <c r="BJ12" i="33"/>
  <c r="BE13" i="33"/>
  <c r="BF13" i="33"/>
  <c r="BG13" i="33"/>
  <c r="BH13" i="33"/>
  <c r="BI13" i="33"/>
  <c r="BJ13" i="33"/>
  <c r="BK13" i="33"/>
  <c r="BE14" i="33"/>
  <c r="BF14" i="33"/>
  <c r="BG14" i="33"/>
  <c r="BH14" i="33"/>
  <c r="BI14" i="33"/>
  <c r="BJ14" i="33"/>
  <c r="BK14" i="33"/>
  <c r="BE15" i="33"/>
  <c r="BF15" i="33" s="1"/>
  <c r="BE16" i="33"/>
  <c r="BG16" i="33" s="1"/>
  <c r="BF16" i="33"/>
  <c r="BE17" i="33"/>
  <c r="BH17" i="33" s="1"/>
  <c r="BK17" i="33" s="1"/>
  <c r="BF17" i="33"/>
  <c r="BG17" i="33"/>
  <c r="BE18" i="33"/>
  <c r="BI18" i="33" s="1"/>
  <c r="BF18" i="33"/>
  <c r="BG18" i="33"/>
  <c r="BH18" i="33"/>
  <c r="BK18" i="33" s="1"/>
  <c r="BE19" i="33"/>
  <c r="BJ19" i="33" s="1"/>
  <c r="BH19" i="33"/>
  <c r="BK19" i="33" s="1"/>
  <c r="BI19" i="33"/>
  <c r="BE20" i="33"/>
  <c r="BG20" i="33" s="1"/>
  <c r="BF20" i="33"/>
  <c r="BH20" i="33"/>
  <c r="BK20" i="33" s="1"/>
  <c r="BI20" i="33"/>
  <c r="BJ20" i="33"/>
  <c r="BE21" i="33"/>
  <c r="BF21" i="33"/>
  <c r="BG21" i="33"/>
  <c r="BH21" i="33"/>
  <c r="BI21" i="33"/>
  <c r="BJ21" i="33"/>
  <c r="BK21" i="33"/>
  <c r="BE22" i="33"/>
  <c r="BF22" i="33"/>
  <c r="BG22" i="33"/>
  <c r="BH22" i="33"/>
  <c r="BI22" i="33"/>
  <c r="BJ22" i="33"/>
  <c r="BK22" i="33"/>
  <c r="BE23" i="33"/>
  <c r="BF23" i="33" s="1"/>
  <c r="BE24" i="33"/>
  <c r="BG24" i="33" s="1"/>
  <c r="BF24" i="33"/>
  <c r="BE25" i="33"/>
  <c r="BH25" i="33" s="1"/>
  <c r="BK25" i="33" s="1"/>
  <c r="BF25" i="33"/>
  <c r="BG25" i="33"/>
  <c r="BE26" i="33"/>
  <c r="BI26" i="33" s="1"/>
  <c r="BF26" i="33"/>
  <c r="BG26" i="33"/>
  <c r="BH26" i="33"/>
  <c r="BK26" i="33" s="1"/>
  <c r="BE27" i="33"/>
  <c r="BJ27" i="33" s="1"/>
  <c r="BH27" i="33"/>
  <c r="BK27" i="33" s="1"/>
  <c r="BI27" i="33"/>
  <c r="BE28" i="33"/>
  <c r="BG28" i="33" s="1"/>
  <c r="BF28" i="33"/>
  <c r="BH28" i="33"/>
  <c r="BK28" i="33" s="1"/>
  <c r="BI28" i="33"/>
  <c r="BJ28" i="33"/>
  <c r="BE29" i="33"/>
  <c r="BF29" i="33"/>
  <c r="BG29" i="33"/>
  <c r="BH29" i="33"/>
  <c r="BI29" i="33"/>
  <c r="BJ29" i="33"/>
  <c r="BK29" i="33"/>
  <c r="BE30" i="33"/>
  <c r="BF30" i="33"/>
  <c r="BG30" i="33"/>
  <c r="BH30" i="33"/>
  <c r="BI30" i="33"/>
  <c r="BJ30" i="33"/>
  <c r="BK30" i="33"/>
  <c r="BE31" i="33"/>
  <c r="BF31" i="33" s="1"/>
  <c r="BE32" i="33"/>
  <c r="BG32" i="33" s="1"/>
  <c r="BF32" i="33"/>
  <c r="BE33" i="33"/>
  <c r="BH33" i="33" s="1"/>
  <c r="BK33" i="33" s="1"/>
  <c r="BF33" i="33"/>
  <c r="BG33" i="33"/>
  <c r="BE34" i="33"/>
  <c r="BI34" i="33" s="1"/>
  <c r="BF34" i="33"/>
  <c r="BG34" i="33"/>
  <c r="BH34" i="33"/>
  <c r="BK34" i="33" s="1"/>
  <c r="BE35" i="33"/>
  <c r="BJ35" i="33" s="1"/>
  <c r="BG35" i="33"/>
  <c r="BH35" i="33"/>
  <c r="BK35" i="33" s="1"/>
  <c r="BI35" i="33"/>
  <c r="BE36" i="33"/>
  <c r="BG36" i="33" s="1"/>
  <c r="BF36" i="33"/>
  <c r="BH36" i="33"/>
  <c r="BK36" i="33" s="1"/>
  <c r="BI36" i="33"/>
  <c r="BJ36" i="33"/>
  <c r="BC8" i="33"/>
  <c r="BC9" i="33"/>
  <c r="BC10" i="33"/>
  <c r="BC11" i="33"/>
  <c r="BC12" i="33"/>
  <c r="BC13" i="33"/>
  <c r="BC14" i="33"/>
  <c r="BC15" i="33"/>
  <c r="BC16" i="33"/>
  <c r="BC17" i="33"/>
  <c r="BC18" i="33"/>
  <c r="BC19" i="33"/>
  <c r="BC20" i="33"/>
  <c r="BC21" i="33"/>
  <c r="BC22" i="33"/>
  <c r="BC23" i="33"/>
  <c r="BC24" i="33"/>
  <c r="BC25" i="33"/>
  <c r="BC26" i="33"/>
  <c r="BC27" i="33"/>
  <c r="BC28" i="33"/>
  <c r="BC29" i="33"/>
  <c r="BC30" i="33"/>
  <c r="BC31" i="33"/>
  <c r="BC32" i="33"/>
  <c r="BC33" i="33"/>
  <c r="BC34" i="33"/>
  <c r="BC35" i="33"/>
  <c r="BC36" i="33"/>
  <c r="BA8" i="33"/>
  <c r="BA9" i="33"/>
  <c r="BA10" i="33"/>
  <c r="BA11" i="33"/>
  <c r="BA12" i="33"/>
  <c r="BA13" i="33"/>
  <c r="BA14" i="33"/>
  <c r="BA15" i="33"/>
  <c r="BA16" i="33"/>
  <c r="BA17" i="33"/>
  <c r="BA18" i="33"/>
  <c r="BA19" i="33"/>
  <c r="BA20" i="33"/>
  <c r="BA21" i="33"/>
  <c r="BA22" i="33"/>
  <c r="BA23" i="33"/>
  <c r="BA24" i="33"/>
  <c r="BA25" i="33"/>
  <c r="BA26" i="33"/>
  <c r="BA27" i="33"/>
  <c r="BA28" i="33"/>
  <c r="BA29" i="33"/>
  <c r="BA30" i="33"/>
  <c r="BA31" i="33"/>
  <c r="BA32" i="33"/>
  <c r="BA33" i="33"/>
  <c r="BA34" i="33"/>
  <c r="BA35" i="33"/>
  <c r="BA36" i="33"/>
  <c r="AY8" i="33"/>
  <c r="AY9" i="33"/>
  <c r="AY10" i="33"/>
  <c r="AY11" i="33"/>
  <c r="AY12" i="33"/>
  <c r="AY13" i="33"/>
  <c r="AY14" i="33"/>
  <c r="AY15" i="33"/>
  <c r="AY16" i="33"/>
  <c r="AY17" i="33"/>
  <c r="AY18" i="33"/>
  <c r="AY19" i="33"/>
  <c r="AY20" i="33"/>
  <c r="AY21" i="33"/>
  <c r="AY22" i="33"/>
  <c r="AY23" i="33"/>
  <c r="AY24" i="33"/>
  <c r="AY25" i="33"/>
  <c r="AY26" i="33"/>
  <c r="AY27" i="33"/>
  <c r="AY28" i="33"/>
  <c r="AY29" i="33"/>
  <c r="AY30" i="33"/>
  <c r="AY31" i="33"/>
  <c r="AY32" i="33"/>
  <c r="AY33" i="33"/>
  <c r="AY34" i="33"/>
  <c r="AY35" i="33"/>
  <c r="AY36" i="33"/>
  <c r="AW8" i="33"/>
  <c r="AW9" i="33"/>
  <c r="AW10" i="33"/>
  <c r="AW11" i="33"/>
  <c r="AW12" i="33"/>
  <c r="AW13" i="33"/>
  <c r="AW14" i="33"/>
  <c r="AW15" i="33"/>
  <c r="AW16" i="33"/>
  <c r="AW17" i="33"/>
  <c r="AW18" i="33"/>
  <c r="AW19" i="33"/>
  <c r="AW20" i="33"/>
  <c r="AW21" i="33"/>
  <c r="AW22" i="33"/>
  <c r="AW23" i="33"/>
  <c r="AW24" i="33"/>
  <c r="AW25" i="33"/>
  <c r="AW26" i="33"/>
  <c r="AW27" i="33"/>
  <c r="AW28" i="33"/>
  <c r="AW29" i="33"/>
  <c r="AW30" i="33"/>
  <c r="AW31" i="33"/>
  <c r="AW32" i="33"/>
  <c r="AW33" i="33"/>
  <c r="AW34" i="33"/>
  <c r="AW35" i="33"/>
  <c r="AW36" i="33"/>
  <c r="AR8" i="33"/>
  <c r="AS8" i="33"/>
  <c r="AT8" i="33"/>
  <c r="AR9" i="33"/>
  <c r="AS9" i="33"/>
  <c r="AT9" i="33"/>
  <c r="AR10" i="33"/>
  <c r="AS10" i="33"/>
  <c r="AT10" i="33"/>
  <c r="AR11" i="33"/>
  <c r="AS11" i="33"/>
  <c r="AT11" i="33"/>
  <c r="AR12" i="33"/>
  <c r="AS12" i="33"/>
  <c r="AT12" i="33"/>
  <c r="AR13" i="33"/>
  <c r="AS13" i="33"/>
  <c r="AT13" i="33"/>
  <c r="AR14" i="33"/>
  <c r="AS14" i="33"/>
  <c r="AT14" i="33"/>
  <c r="AR15" i="33"/>
  <c r="AS15" i="33"/>
  <c r="AT15" i="33"/>
  <c r="AR16" i="33"/>
  <c r="AS16" i="33"/>
  <c r="AT16" i="33"/>
  <c r="AR17" i="33"/>
  <c r="AS17" i="33"/>
  <c r="AT17" i="33"/>
  <c r="AR18" i="33"/>
  <c r="AS18" i="33"/>
  <c r="AT18" i="33"/>
  <c r="AR19" i="33"/>
  <c r="AS19" i="33"/>
  <c r="AT19" i="33"/>
  <c r="AR20" i="33"/>
  <c r="AS20" i="33"/>
  <c r="AT20" i="33"/>
  <c r="AR21" i="33"/>
  <c r="AS21" i="33"/>
  <c r="AT21" i="33"/>
  <c r="AR22" i="33"/>
  <c r="AS22" i="33"/>
  <c r="AT22" i="33"/>
  <c r="AR23" i="33"/>
  <c r="AS23" i="33"/>
  <c r="AT23" i="33"/>
  <c r="AR24" i="33"/>
  <c r="AS24" i="33"/>
  <c r="AT24" i="33"/>
  <c r="AR25" i="33"/>
  <c r="AS25" i="33"/>
  <c r="AT25" i="33"/>
  <c r="AR26" i="33"/>
  <c r="AS26" i="33"/>
  <c r="AT26" i="33"/>
  <c r="AR27" i="33"/>
  <c r="AS27" i="33"/>
  <c r="AT27" i="33"/>
  <c r="AR28" i="33"/>
  <c r="AS28" i="33"/>
  <c r="AT28" i="33"/>
  <c r="AR29" i="33"/>
  <c r="AS29" i="33"/>
  <c r="AT29" i="33"/>
  <c r="AR30" i="33"/>
  <c r="AS30" i="33"/>
  <c r="AT30" i="33"/>
  <c r="AR31" i="33"/>
  <c r="AS31" i="33"/>
  <c r="AT31" i="33"/>
  <c r="AR32" i="33"/>
  <c r="AS32" i="33"/>
  <c r="AT32" i="33"/>
  <c r="AR33" i="33"/>
  <c r="AS33" i="33"/>
  <c r="AT33" i="33"/>
  <c r="AR34" i="33"/>
  <c r="AS34" i="33"/>
  <c r="AT34" i="33"/>
  <c r="AR35" i="33"/>
  <c r="AS35" i="33"/>
  <c r="AT35" i="33"/>
  <c r="AR36" i="33"/>
  <c r="AS36" i="33"/>
  <c r="AT36" i="33"/>
  <c r="AT7" i="33"/>
  <c r="AS7" i="33"/>
  <c r="AR7" i="33"/>
  <c r="CF35" i="33" l="1"/>
  <c r="CF31" i="33"/>
  <c r="CF27" i="33"/>
  <c r="CF23" i="33"/>
  <c r="CF19" i="33"/>
  <c r="CF15" i="33"/>
  <c r="CF11" i="33"/>
  <c r="CC36" i="33"/>
  <c r="CE35" i="33"/>
  <c r="CC32" i="33"/>
  <c r="CE31" i="33"/>
  <c r="CC28" i="33"/>
  <c r="CE27" i="33"/>
  <c r="CC24" i="33"/>
  <c r="CE23" i="33"/>
  <c r="CC20" i="33"/>
  <c r="CE19" i="33"/>
  <c r="CC16" i="33"/>
  <c r="CE15" i="33"/>
  <c r="CC12" i="33"/>
  <c r="CE11" i="33"/>
  <c r="CC8" i="33"/>
  <c r="CB36" i="33"/>
  <c r="CF34" i="33"/>
  <c r="CB32" i="33"/>
  <c r="CF30" i="33"/>
  <c r="CB28" i="33"/>
  <c r="CF26" i="33"/>
  <c r="CB24" i="33"/>
  <c r="CF22" i="33"/>
  <c r="CB20" i="33"/>
  <c r="CF18" i="33"/>
  <c r="CB16" i="33"/>
  <c r="CF14" i="33"/>
  <c r="CB12" i="33"/>
  <c r="CF10" i="33"/>
  <c r="CB8" i="33"/>
  <c r="CC35" i="33"/>
  <c r="CE34" i="33"/>
  <c r="CC31" i="33"/>
  <c r="CE30" i="33"/>
  <c r="CC27" i="33"/>
  <c r="CE26" i="33"/>
  <c r="CC23" i="33"/>
  <c r="CE22" i="33"/>
  <c r="CC19" i="33"/>
  <c r="CE18" i="33"/>
  <c r="CC15" i="33"/>
  <c r="CE14" i="33"/>
  <c r="CC11" i="33"/>
  <c r="CE10" i="33"/>
  <c r="CC26" i="33"/>
  <c r="CC22" i="33"/>
  <c r="CC18" i="33"/>
  <c r="CC14" i="33"/>
  <c r="CC10" i="33"/>
  <c r="BT36" i="33"/>
  <c r="BT20" i="33"/>
  <c r="BT8" i="33"/>
  <c r="BQ33" i="33"/>
  <c r="BQ29" i="33"/>
  <c r="BQ25" i="33"/>
  <c r="BQ21" i="33"/>
  <c r="BQ17" i="33"/>
  <c r="BQ13" i="33"/>
  <c r="BQ9" i="33"/>
  <c r="BT32" i="33"/>
  <c r="BT28" i="33"/>
  <c r="BT24" i="33"/>
  <c r="BT16" i="33"/>
  <c r="BT12" i="33"/>
  <c r="BQ36" i="33"/>
  <c r="BQ12" i="33"/>
  <c r="BQ8" i="33"/>
  <c r="BQ32" i="33"/>
  <c r="BQ28" i="33"/>
  <c r="BQ24" i="33"/>
  <c r="BQ20" i="33"/>
  <c r="BQ16" i="33"/>
  <c r="BG27" i="33"/>
  <c r="BG19" i="33"/>
  <c r="BG11" i="33"/>
  <c r="BF35" i="33"/>
  <c r="BJ31" i="33"/>
  <c r="BF27" i="33"/>
  <c r="BJ23" i="33"/>
  <c r="BF19" i="33"/>
  <c r="BJ15" i="33"/>
  <c r="BF11" i="33"/>
  <c r="BI15" i="33"/>
  <c r="BJ32" i="33"/>
  <c r="BI31" i="33"/>
  <c r="BI23" i="33"/>
  <c r="BJ16" i="33"/>
  <c r="BJ33" i="33"/>
  <c r="BJ34" i="33"/>
  <c r="BI33" i="33"/>
  <c r="BH32" i="33"/>
  <c r="BK32" i="33" s="1"/>
  <c r="BG31" i="33"/>
  <c r="BJ26" i="33"/>
  <c r="BI25" i="33"/>
  <c r="BH24" i="33"/>
  <c r="BK24" i="33" s="1"/>
  <c r="BG23" i="33"/>
  <c r="BJ18" i="33"/>
  <c r="BI17" i="33"/>
  <c r="BH16" i="33"/>
  <c r="BK16" i="33" s="1"/>
  <c r="BG15" i="33"/>
  <c r="BJ10" i="33"/>
  <c r="BI9" i="33"/>
  <c r="BH8" i="33"/>
  <c r="BK8" i="33" s="1"/>
  <c r="BJ24" i="33"/>
  <c r="BI32" i="33"/>
  <c r="BH31" i="33"/>
  <c r="BK31" i="33" s="1"/>
  <c r="BJ25" i="33"/>
  <c r="BI24" i="33"/>
  <c r="BH23" i="33"/>
  <c r="BK23" i="33" s="1"/>
  <c r="BJ17" i="33"/>
  <c r="BI16" i="33"/>
  <c r="BH15" i="33"/>
  <c r="BK15" i="33" s="1"/>
  <c r="BI8" i="33"/>
  <c r="BJ11" i="33"/>
  <c r="V2" i="33"/>
  <c r="CJ36" i="33" l="1"/>
  <c r="CL36" i="33"/>
  <c r="CK36" i="33"/>
  <c r="AZ36" i="33"/>
  <c r="AX36" i="33"/>
  <c r="AV36" i="33"/>
  <c r="BB36" i="33" s="1"/>
  <c r="CI36" i="33" s="1"/>
  <c r="C36" i="33"/>
  <c r="CJ35" i="33"/>
  <c r="CL35" i="33"/>
  <c r="CK35" i="33"/>
  <c r="AZ35" i="33"/>
  <c r="AX35" i="33"/>
  <c r="AV35" i="33"/>
  <c r="C35" i="33"/>
  <c r="CL34" i="33"/>
  <c r="CJ34" i="33"/>
  <c r="CK34" i="33"/>
  <c r="CI34" i="33"/>
  <c r="BB34" i="33"/>
  <c r="AZ34" i="33"/>
  <c r="AX34" i="33"/>
  <c r="AV34" i="33"/>
  <c r="C34" i="33"/>
  <c r="CL33" i="33"/>
  <c r="CK33" i="33"/>
  <c r="CJ33" i="33"/>
  <c r="BB33" i="33"/>
  <c r="CI33" i="33" s="1"/>
  <c r="AZ33" i="33"/>
  <c r="AX33" i="33"/>
  <c r="AV33" i="33"/>
  <c r="C33" i="33"/>
  <c r="CL32" i="33"/>
  <c r="CK32" i="33"/>
  <c r="CJ32" i="33"/>
  <c r="CI32" i="33"/>
  <c r="AZ32" i="33"/>
  <c r="BB32" i="33" s="1"/>
  <c r="AX32" i="33"/>
  <c r="AV32" i="33"/>
  <c r="C32" i="33"/>
  <c r="CL31" i="33"/>
  <c r="CK31" i="33"/>
  <c r="CJ31" i="33"/>
  <c r="AZ31" i="33"/>
  <c r="AX31" i="33"/>
  <c r="AV31" i="33"/>
  <c r="C31" i="33"/>
  <c r="CK30" i="33"/>
  <c r="CJ30" i="33"/>
  <c r="CL30" i="33"/>
  <c r="AZ30" i="33"/>
  <c r="AX30" i="33"/>
  <c r="BB30" i="33" s="1"/>
  <c r="CI30" i="33" s="1"/>
  <c r="AV30" i="33"/>
  <c r="C30" i="33"/>
  <c r="CJ29" i="33"/>
  <c r="CL29" i="33"/>
  <c r="CK29" i="33"/>
  <c r="AZ29" i="33"/>
  <c r="AX29" i="33"/>
  <c r="AV29" i="33"/>
  <c r="C29" i="33"/>
  <c r="CJ28" i="33"/>
  <c r="CL28" i="33"/>
  <c r="CK28" i="33"/>
  <c r="AZ28" i="33"/>
  <c r="AX28" i="33"/>
  <c r="AV28" i="33"/>
  <c r="BB28" i="33" s="1"/>
  <c r="CI28" i="33" s="1"/>
  <c r="C28" i="33"/>
  <c r="CJ27" i="33"/>
  <c r="CL27" i="33"/>
  <c r="CK27" i="33"/>
  <c r="AZ27" i="33"/>
  <c r="AX27" i="33"/>
  <c r="AV27" i="33"/>
  <c r="C27" i="33"/>
  <c r="CL26" i="33"/>
  <c r="CJ26" i="33"/>
  <c r="CK26" i="33"/>
  <c r="CI26" i="33"/>
  <c r="BB26" i="33"/>
  <c r="AZ26" i="33"/>
  <c r="AX26" i="33"/>
  <c r="AV26" i="33"/>
  <c r="C26" i="33"/>
  <c r="CL25" i="33"/>
  <c r="CK25" i="33"/>
  <c r="CJ25" i="33"/>
  <c r="BB25" i="33"/>
  <c r="CI25" i="33" s="1"/>
  <c r="AZ25" i="33"/>
  <c r="AX25" i="33"/>
  <c r="AV25" i="33"/>
  <c r="C25" i="33"/>
  <c r="CL24" i="33"/>
  <c r="CK24" i="33"/>
  <c r="CJ24" i="33"/>
  <c r="CI24" i="33"/>
  <c r="AZ24" i="33"/>
  <c r="BB24" i="33" s="1"/>
  <c r="AX24" i="33"/>
  <c r="AV24" i="33"/>
  <c r="C24" i="33"/>
  <c r="CL23" i="33"/>
  <c r="CK23" i="33"/>
  <c r="CJ23" i="33"/>
  <c r="AZ23" i="33"/>
  <c r="AX23" i="33"/>
  <c r="AV23" i="33"/>
  <c r="C23" i="33"/>
  <c r="CK22" i="33"/>
  <c r="CJ22" i="33"/>
  <c r="CL22" i="33"/>
  <c r="AZ22" i="33"/>
  <c r="AX22" i="33"/>
  <c r="BB22" i="33" s="1"/>
  <c r="CI22" i="33" s="1"/>
  <c r="AV22" i="33"/>
  <c r="C22" i="33"/>
  <c r="CJ21" i="33"/>
  <c r="CL21" i="33"/>
  <c r="CK21" i="33"/>
  <c r="AZ21" i="33"/>
  <c r="AX21" i="33"/>
  <c r="AV21" i="33"/>
  <c r="C21" i="33"/>
  <c r="CJ20" i="33"/>
  <c r="CL20" i="33"/>
  <c r="CK20" i="33"/>
  <c r="AZ20" i="33"/>
  <c r="AX20" i="33"/>
  <c r="AV20" i="33"/>
  <c r="C20" i="33"/>
  <c r="CJ19" i="33"/>
  <c r="CL19" i="33"/>
  <c r="CK19" i="33"/>
  <c r="AZ19" i="33"/>
  <c r="AX19" i="33"/>
  <c r="AV19" i="33"/>
  <c r="C19" i="33"/>
  <c r="CL18" i="33"/>
  <c r="CJ18" i="33"/>
  <c r="CK18" i="33"/>
  <c r="AZ18" i="33"/>
  <c r="AX18" i="33"/>
  <c r="AV18" i="33"/>
  <c r="BB18" i="33" s="1"/>
  <c r="CI18" i="33" s="1"/>
  <c r="C18" i="33"/>
  <c r="CL17" i="33"/>
  <c r="CJ17" i="33"/>
  <c r="CK17" i="33"/>
  <c r="BB17" i="33"/>
  <c r="CI17" i="33" s="1"/>
  <c r="AZ17" i="33"/>
  <c r="AX17" i="33"/>
  <c r="AV17" i="33"/>
  <c r="C17" i="33"/>
  <c r="CL16" i="33"/>
  <c r="CK16" i="33"/>
  <c r="CJ16" i="33"/>
  <c r="AZ16" i="33"/>
  <c r="AX16" i="33"/>
  <c r="AV16" i="33"/>
  <c r="C16" i="33"/>
  <c r="CL15" i="33"/>
  <c r="CK15" i="33"/>
  <c r="CJ15" i="33"/>
  <c r="BB15" i="33"/>
  <c r="CI15" i="33" s="1"/>
  <c r="AZ15" i="33"/>
  <c r="AX15" i="33"/>
  <c r="AV15" i="33"/>
  <c r="C15" i="33"/>
  <c r="CK14" i="33"/>
  <c r="CJ14" i="33"/>
  <c r="CL14" i="33"/>
  <c r="AZ14" i="33"/>
  <c r="AX14" i="33"/>
  <c r="AV14" i="33"/>
  <c r="C14" i="33"/>
  <c r="CL13" i="33"/>
  <c r="CJ13" i="33"/>
  <c r="CK13" i="33"/>
  <c r="AZ13" i="33"/>
  <c r="AX13" i="33"/>
  <c r="AV13" i="33"/>
  <c r="C13" i="33"/>
  <c r="CK12" i="33"/>
  <c r="CJ12" i="33"/>
  <c r="CL12" i="33"/>
  <c r="AZ12" i="33"/>
  <c r="AX12" i="33"/>
  <c r="AV12" i="33"/>
  <c r="C12" i="33"/>
  <c r="CL11" i="33"/>
  <c r="CJ11" i="33"/>
  <c r="CK11" i="33"/>
  <c r="BB11" i="33"/>
  <c r="CI11" i="33" s="1"/>
  <c r="AZ11" i="33"/>
  <c r="AX11" i="33"/>
  <c r="AV11" i="33"/>
  <c r="C11" i="33"/>
  <c r="CL10" i="33"/>
  <c r="CK10" i="33"/>
  <c r="CJ10" i="33"/>
  <c r="BB10" i="33"/>
  <c r="CI10" i="33" s="1"/>
  <c r="AZ10" i="33"/>
  <c r="AX10" i="33"/>
  <c r="AV10" i="33"/>
  <c r="C10" i="33"/>
  <c r="CK9" i="33"/>
  <c r="CJ9" i="33"/>
  <c r="CL9" i="33"/>
  <c r="AZ9" i="33"/>
  <c r="AX9" i="33"/>
  <c r="AV9" i="33"/>
  <c r="C9" i="33"/>
  <c r="CL8" i="33"/>
  <c r="CJ8" i="33"/>
  <c r="CK8" i="33"/>
  <c r="AZ8" i="33"/>
  <c r="AX8" i="33"/>
  <c r="AV8" i="33"/>
  <c r="BB8" i="33" s="1"/>
  <c r="CI8" i="33" s="1"/>
  <c r="C8" i="33"/>
  <c r="CD7" i="33"/>
  <c r="CA7" i="33"/>
  <c r="CJ7" i="33"/>
  <c r="BY7" i="33"/>
  <c r="CL7" i="33" s="1"/>
  <c r="BX7" i="33"/>
  <c r="CK7" i="33" s="1"/>
  <c r="BR7" i="33"/>
  <c r="BN7" i="33"/>
  <c r="BU7" i="33" s="1"/>
  <c r="BM7" i="33"/>
  <c r="BO7" i="33" s="1"/>
  <c r="BE7" i="33"/>
  <c r="AZ7" i="33"/>
  <c r="BA7" i="33" s="1"/>
  <c r="AX7" i="33"/>
  <c r="AV7" i="33"/>
  <c r="BP7" i="33" l="1"/>
  <c r="BT7" i="33"/>
  <c r="AX37" i="33"/>
  <c r="AY7" i="33"/>
  <c r="BS7" i="33"/>
  <c r="BV7" i="33" s="1"/>
  <c r="BV37" i="33" s="1"/>
  <c r="I36" i="32" s="1"/>
  <c r="BJ7" i="33"/>
  <c r="BI7" i="33"/>
  <c r="BF7" i="33"/>
  <c r="AV37" i="33"/>
  <c r="AW7" i="33"/>
  <c r="BQ7" i="33"/>
  <c r="C7" i="33"/>
  <c r="CC7" i="33"/>
  <c r="CG7" i="33"/>
  <c r="CG37" i="33" s="1"/>
  <c r="I37" i="32" s="1"/>
  <c r="CN31" i="33"/>
  <c r="CN20" i="33"/>
  <c r="CN36" i="33"/>
  <c r="CM18" i="33"/>
  <c r="CM19" i="33"/>
  <c r="CN11" i="33"/>
  <c r="CN8" i="33"/>
  <c r="CM15" i="33"/>
  <c r="CN28" i="33"/>
  <c r="CN29" i="33"/>
  <c r="CM10" i="33"/>
  <c r="CN30" i="33"/>
  <c r="CM11" i="33"/>
  <c r="CJ37" i="33"/>
  <c r="CL37" i="33"/>
  <c r="CN10" i="33"/>
  <c r="BB13" i="33"/>
  <c r="CI13" i="33" s="1"/>
  <c r="BG7" i="33"/>
  <c r="BX37" i="33"/>
  <c r="F37" i="32" s="1"/>
  <c r="CN9" i="33"/>
  <c r="BB12" i="33"/>
  <c r="CI12" i="33" s="1"/>
  <c r="CN14" i="33"/>
  <c r="CN22" i="33"/>
  <c r="CM23" i="33"/>
  <c r="CN24" i="33"/>
  <c r="BB29" i="33"/>
  <c r="CI29" i="33" s="1"/>
  <c r="BB31" i="33"/>
  <c r="CI31" i="33" s="1"/>
  <c r="CN35" i="33"/>
  <c r="CN32" i="33"/>
  <c r="CN33" i="33"/>
  <c r="CM33" i="33"/>
  <c r="BZ37" i="33"/>
  <c r="E37" i="32" s="1"/>
  <c r="AZ37" i="33"/>
  <c r="BB9" i="33"/>
  <c r="CI9" i="33" s="1"/>
  <c r="CM13" i="33"/>
  <c r="CM14" i="33"/>
  <c r="BB16" i="33"/>
  <c r="CI16" i="33" s="1"/>
  <c r="BB19" i="33"/>
  <c r="CI19" i="33" s="1"/>
  <c r="CM20" i="33"/>
  <c r="CN21" i="33"/>
  <c r="CN23" i="33"/>
  <c r="BB35" i="33"/>
  <c r="CI35" i="33" s="1"/>
  <c r="BH7" i="33"/>
  <c r="CK37" i="33"/>
  <c r="CN13" i="33"/>
  <c r="BB14" i="33"/>
  <c r="CI14" i="33" s="1"/>
  <c r="CN19" i="33"/>
  <c r="CN17" i="33"/>
  <c r="CN27" i="33"/>
  <c r="CM31" i="33"/>
  <c r="BY37" i="33"/>
  <c r="G37" i="32" s="1"/>
  <c r="BB7" i="33"/>
  <c r="BC7" i="33" s="1"/>
  <c r="CN12" i="33"/>
  <c r="CN16" i="33"/>
  <c r="CM16" i="33"/>
  <c r="CN18" i="33"/>
  <c r="CN25" i="33"/>
  <c r="CM25" i="33"/>
  <c r="BB27" i="33"/>
  <c r="CI27" i="33" s="1"/>
  <c r="CN15" i="33"/>
  <c r="BB20" i="33"/>
  <c r="CI20" i="33" s="1"/>
  <c r="BB21" i="33"/>
  <c r="CI21" i="33" s="1"/>
  <c r="BB23" i="33"/>
  <c r="CI23" i="33" s="1"/>
  <c r="CM28" i="33"/>
  <c r="CM22" i="33"/>
  <c r="CM30" i="33"/>
  <c r="CM35" i="33"/>
  <c r="CN26" i="33"/>
  <c r="CN34" i="33"/>
  <c r="E122" i="27"/>
  <c r="E123" i="27"/>
  <c r="E124" i="27"/>
  <c r="E121" i="27"/>
  <c r="D124" i="27"/>
  <c r="D123" i="27"/>
  <c r="D122" i="27"/>
  <c r="D121" i="27"/>
  <c r="CO30" i="33" l="1"/>
  <c r="CQ30" i="33" s="1"/>
  <c r="BK7" i="33"/>
  <c r="BK37" i="33" s="1"/>
  <c r="I35" i="32" s="1"/>
  <c r="CM7" i="33"/>
  <c r="BA37" i="33"/>
  <c r="D37" i="32" s="1"/>
  <c r="CO18" i="33"/>
  <c r="CQ18" i="33" s="1"/>
  <c r="CO11" i="33"/>
  <c r="CQ11" i="33" s="1"/>
  <c r="CM12" i="33"/>
  <c r="CO12" i="33" s="1"/>
  <c r="CQ12" i="33" s="1"/>
  <c r="CM32" i="33"/>
  <c r="CO32" i="33" s="1"/>
  <c r="CQ32" i="33" s="1"/>
  <c r="CM24" i="33"/>
  <c r="CO24" i="33" s="1"/>
  <c r="CQ24" i="33" s="1"/>
  <c r="CO20" i="33"/>
  <c r="CQ20" i="33" s="1"/>
  <c r="CO28" i="33"/>
  <c r="CQ28" i="33" s="1"/>
  <c r="CO33" i="33"/>
  <c r="CQ33" i="33" s="1"/>
  <c r="CM21" i="33"/>
  <c r="CO21" i="33" s="1"/>
  <c r="CQ21" i="33" s="1"/>
  <c r="CM9" i="33"/>
  <c r="CO9" i="33" s="1"/>
  <c r="CQ9" i="33" s="1"/>
  <c r="CO25" i="33"/>
  <c r="CQ25" i="33" s="1"/>
  <c r="CC37" i="33"/>
  <c r="H37" i="32" s="1"/>
  <c r="CM29" i="33"/>
  <c r="CO29" i="33" s="1"/>
  <c r="CQ29" i="33" s="1"/>
  <c r="CO35" i="33"/>
  <c r="CQ35" i="33" s="1"/>
  <c r="BQ37" i="33"/>
  <c r="H36" i="32" s="1"/>
  <c r="CO10" i="33"/>
  <c r="CQ10" i="33" s="1"/>
  <c r="CM26" i="33"/>
  <c r="CO26" i="33" s="1"/>
  <c r="CQ26" i="33" s="1"/>
  <c r="CO15" i="33"/>
  <c r="CQ15" i="33" s="1"/>
  <c r="CO22" i="33"/>
  <c r="CQ22" i="33" s="1"/>
  <c r="AY37" i="33"/>
  <c r="D36" i="32" s="1"/>
  <c r="CO19" i="33"/>
  <c r="CQ19" i="33" s="1"/>
  <c r="CM36" i="33"/>
  <c r="CO36" i="33" s="1"/>
  <c r="CQ36" i="33" s="1"/>
  <c r="CO23" i="33"/>
  <c r="CQ23" i="33" s="1"/>
  <c r="CM17" i="33"/>
  <c r="CO17" i="33" s="1"/>
  <c r="CQ17" i="33" s="1"/>
  <c r="CO16" i="33"/>
  <c r="CQ16" i="33" s="1"/>
  <c r="CO13" i="33"/>
  <c r="CQ13" i="33" s="1"/>
  <c r="CM27" i="33"/>
  <c r="CO27" i="33" s="1"/>
  <c r="CQ27" i="33" s="1"/>
  <c r="BB37" i="33"/>
  <c r="CM8" i="33"/>
  <c r="CO8" i="33" s="1"/>
  <c r="CQ8" i="33" s="1"/>
  <c r="CO14" i="33"/>
  <c r="CQ14" i="33" s="1"/>
  <c r="CM34" i="33"/>
  <c r="CO34" i="33" s="1"/>
  <c r="CQ34" i="33" s="1"/>
  <c r="CO31" i="33"/>
  <c r="CQ31" i="33" s="1"/>
  <c r="AW37" i="33"/>
  <c r="D35" i="32" s="1"/>
  <c r="BG37" i="33"/>
  <c r="H35" i="32" s="1"/>
  <c r="J13" i="32"/>
  <c r="J11" i="32"/>
  <c r="J10" i="32"/>
  <c r="J9" i="32"/>
  <c r="J8" i="32"/>
  <c r="J7" i="32"/>
  <c r="I11" i="32"/>
  <c r="I10" i="32"/>
  <c r="I9" i="32"/>
  <c r="I8" i="32"/>
  <c r="I7" i="32"/>
  <c r="G11" i="32"/>
  <c r="G10" i="32"/>
  <c r="G9" i="32"/>
  <c r="G8" i="32"/>
  <c r="G7" i="32"/>
  <c r="F11" i="32"/>
  <c r="F10" i="32"/>
  <c r="F9" i="32"/>
  <c r="F8" i="32"/>
  <c r="F7" i="32"/>
  <c r="AJ36" i="27"/>
  <c r="AJ38" i="27" s="1"/>
  <c r="AJ35" i="27"/>
  <c r="P68" i="27"/>
  <c r="P35" i="27"/>
  <c r="AI36" i="27"/>
  <c r="AH36" i="27"/>
  <c r="AG36" i="27"/>
  <c r="AF36" i="27"/>
  <c r="AE36" i="27"/>
  <c r="AD36" i="27"/>
  <c r="AC36" i="27"/>
  <c r="AB36" i="27"/>
  <c r="AA36" i="27"/>
  <c r="Z36" i="27"/>
  <c r="AI35" i="27"/>
  <c r="AH35" i="27"/>
  <c r="AG35" i="27"/>
  <c r="AF35" i="27"/>
  <c r="AE35" i="27"/>
  <c r="AD35" i="27"/>
  <c r="AC35" i="27"/>
  <c r="AB35" i="27"/>
  <c r="AA35" i="27"/>
  <c r="Z35" i="27"/>
  <c r="V31" i="27"/>
  <c r="Y36" i="27"/>
  <c r="X36" i="27"/>
  <c r="W36" i="27"/>
  <c r="U36" i="27"/>
  <c r="T36" i="27"/>
  <c r="S36" i="27"/>
  <c r="R36" i="27"/>
  <c r="Q36" i="27"/>
  <c r="P36" i="27"/>
  <c r="V29" i="27"/>
  <c r="V36" i="27" s="1"/>
  <c r="Y35" i="27"/>
  <c r="X35" i="27"/>
  <c r="W35" i="27"/>
  <c r="U35" i="27"/>
  <c r="T35" i="27"/>
  <c r="S35" i="27"/>
  <c r="R35" i="27"/>
  <c r="Q35" i="27"/>
  <c r="V19" i="27"/>
  <c r="V30" i="27" s="1"/>
  <c r="V17" i="27"/>
  <c r="V15" i="27"/>
  <c r="V14" i="27"/>
  <c r="V13" i="27"/>
  <c r="CN7" i="33" l="1"/>
  <c r="CN37" i="33" s="1"/>
  <c r="BC37" i="33"/>
  <c r="CI7" i="33"/>
  <c r="CM37" i="33"/>
  <c r="H7" i="32"/>
  <c r="H10" i="32"/>
  <c r="H8" i="32"/>
  <c r="H11" i="32"/>
  <c r="K9" i="32"/>
  <c r="H9" i="32"/>
  <c r="K7" i="32"/>
  <c r="K8" i="32"/>
  <c r="K10" i="32"/>
  <c r="K11" i="32"/>
  <c r="X38" i="27"/>
  <c r="Y38" i="27"/>
  <c r="Z38" i="27"/>
  <c r="AH38" i="27"/>
  <c r="U38" i="27"/>
  <c r="AA38" i="27"/>
  <c r="AI38" i="27"/>
  <c r="W38" i="27"/>
  <c r="S38" i="27"/>
  <c r="Q38" i="27"/>
  <c r="V35" i="27"/>
  <c r="P38" i="27"/>
  <c r="AF38" i="27"/>
  <c r="AG38" i="27"/>
  <c r="V38" i="27"/>
  <c r="T38" i="27"/>
  <c r="R38" i="27"/>
  <c r="AC38" i="27"/>
  <c r="AD38" i="27"/>
  <c r="AB38" i="27"/>
  <c r="AE38" i="27"/>
  <c r="CI37" i="33" l="1"/>
  <c r="CO7" i="33"/>
  <c r="CO37" i="33" l="1"/>
  <c r="CQ7" i="33"/>
  <c r="CQ37" i="33" s="1"/>
  <c r="P2" i="29" l="1"/>
  <c r="AA2" i="26"/>
  <c r="W9" i="29" l="1"/>
  <c r="W10" i="29"/>
  <c r="W11" i="29"/>
  <c r="W12" i="29"/>
  <c r="W13" i="29"/>
  <c r="W14" i="29"/>
  <c r="W15" i="29"/>
  <c r="W16" i="29"/>
  <c r="W17" i="29"/>
  <c r="W18" i="29"/>
  <c r="W19" i="29"/>
  <c r="W20" i="29"/>
  <c r="W21" i="29"/>
  <c r="W22" i="29"/>
  <c r="W8" i="29"/>
  <c r="S9" i="29"/>
  <c r="U9" i="29" s="1"/>
  <c r="S10" i="29"/>
  <c r="U10" i="29" s="1"/>
  <c r="S11" i="29"/>
  <c r="T11" i="29" s="1"/>
  <c r="AD11" i="29" s="1"/>
  <c r="AH11" i="29" s="1"/>
  <c r="S12" i="29"/>
  <c r="T12" i="29" s="1"/>
  <c r="AD12" i="29" s="1"/>
  <c r="AH12" i="29" s="1"/>
  <c r="S13" i="29"/>
  <c r="T13" i="29" s="1"/>
  <c r="S14" i="29"/>
  <c r="T14" i="29" s="1"/>
  <c r="AD14" i="29" s="1"/>
  <c r="AH14" i="29" s="1"/>
  <c r="S15" i="29"/>
  <c r="T15" i="29" s="1"/>
  <c r="AD15" i="29" s="1"/>
  <c r="AH15" i="29" s="1"/>
  <c r="S16" i="29"/>
  <c r="U16" i="29" s="1"/>
  <c r="S17" i="29"/>
  <c r="U17" i="29" s="1"/>
  <c r="S18" i="29"/>
  <c r="U18" i="29" s="1"/>
  <c r="S19" i="29"/>
  <c r="T19" i="29" s="1"/>
  <c r="AD19" i="29" s="1"/>
  <c r="AH19" i="29" s="1"/>
  <c r="S20" i="29"/>
  <c r="T20" i="29" s="1"/>
  <c r="AD20" i="29" s="1"/>
  <c r="AH20" i="29" s="1"/>
  <c r="S21" i="29"/>
  <c r="T21" i="29" s="1"/>
  <c r="AD21" i="29" s="1"/>
  <c r="AH21" i="29" s="1"/>
  <c r="S22" i="29"/>
  <c r="T22" i="29" s="1"/>
  <c r="AD22" i="29" s="1"/>
  <c r="AH22" i="29" s="1"/>
  <c r="S8" i="29"/>
  <c r="U8" i="29" s="1"/>
  <c r="Z22" i="29" l="1"/>
  <c r="AA22" i="29"/>
  <c r="AB22" i="29"/>
  <c r="Y22" i="29"/>
  <c r="AC22" i="29"/>
  <c r="AK22" i="29" s="1"/>
  <c r="Y14" i="29"/>
  <c r="Z14" i="29"/>
  <c r="AA14" i="29"/>
  <c r="AB14" i="29"/>
  <c r="AC14" i="29"/>
  <c r="AK14" i="29" s="1"/>
  <c r="Y15" i="29"/>
  <c r="AB15" i="29"/>
  <c r="Z15" i="29"/>
  <c r="AA15" i="29"/>
  <c r="AC15" i="29"/>
  <c r="AK15" i="29" s="1"/>
  <c r="Z21" i="29"/>
  <c r="AA21" i="29"/>
  <c r="AB21" i="29"/>
  <c r="Y21" i="29"/>
  <c r="AC21" i="29"/>
  <c r="AK21" i="29" s="1"/>
  <c r="Y20" i="29"/>
  <c r="AA20" i="29"/>
  <c r="AB20" i="29"/>
  <c r="Z20" i="29"/>
  <c r="AC20" i="29"/>
  <c r="AK20" i="29" s="1"/>
  <c r="Z12" i="29"/>
  <c r="Y12" i="29"/>
  <c r="AA12" i="29"/>
  <c r="AB12" i="29"/>
  <c r="AA19" i="29"/>
  <c r="Z19" i="29"/>
  <c r="AB19" i="29"/>
  <c r="Y19" i="29"/>
  <c r="AC19" i="29"/>
  <c r="AK19" i="29" s="1"/>
  <c r="Z11" i="29"/>
  <c r="AB11" i="29"/>
  <c r="Y11" i="29"/>
  <c r="X20" i="29"/>
  <c r="AB18" i="29"/>
  <c r="Y18" i="29"/>
  <c r="AA18" i="29"/>
  <c r="Z18" i="29"/>
  <c r="AC18" i="29"/>
  <c r="AK18" i="29" s="1"/>
  <c r="AA10" i="29"/>
  <c r="AB10" i="29"/>
  <c r="Y10" i="29"/>
  <c r="Y8" i="29"/>
  <c r="Z8" i="29"/>
  <c r="AB8" i="29"/>
  <c r="AA8" i="29"/>
  <c r="AC8" i="29"/>
  <c r="X18" i="29"/>
  <c r="AB17" i="29"/>
  <c r="Y17" i="29"/>
  <c r="Z17" i="29"/>
  <c r="AA17" i="29"/>
  <c r="AC17" i="29"/>
  <c r="AK17" i="29" s="1"/>
  <c r="AB9" i="29"/>
  <c r="Z9" i="29"/>
  <c r="AA9" i="29"/>
  <c r="AC9" i="29"/>
  <c r="AK9" i="29" s="1"/>
  <c r="X15" i="29"/>
  <c r="Y16" i="29"/>
  <c r="Z16" i="29"/>
  <c r="AA16" i="29"/>
  <c r="AB16" i="29"/>
  <c r="AC16" i="29"/>
  <c r="AK16" i="29" s="1"/>
  <c r="AB13" i="29"/>
  <c r="Y13" i="29"/>
  <c r="Z13" i="29"/>
  <c r="AA13" i="29"/>
  <c r="AC13" i="29"/>
  <c r="AK13" i="29" s="1"/>
  <c r="X12" i="29"/>
  <c r="AC12" i="29" s="1"/>
  <c r="AK12" i="29" s="1"/>
  <c r="AC11" i="29"/>
  <c r="AK11" i="29" s="1"/>
  <c r="AC10" i="29"/>
  <c r="AK10" i="29" s="1"/>
  <c r="X17" i="29"/>
  <c r="X19" i="29"/>
  <c r="X13" i="29"/>
  <c r="AD13" i="29" s="1"/>
  <c r="AH13" i="29" s="1"/>
  <c r="X21" i="29"/>
  <c r="T17" i="29"/>
  <c r="AD17" i="29" s="1"/>
  <c r="AH17" i="29" s="1"/>
  <c r="T10" i="29"/>
  <c r="AD10" i="29" s="1"/>
  <c r="AH10" i="29" s="1"/>
  <c r="T9" i="29"/>
  <c r="AD9" i="29" s="1"/>
  <c r="AH9" i="29" s="1"/>
  <c r="X22" i="29"/>
  <c r="X14" i="29"/>
  <c r="X16" i="29"/>
  <c r="X10" i="29"/>
  <c r="Z10" i="29" s="1"/>
  <c r="X9" i="29"/>
  <c r="Y9" i="29" s="1"/>
  <c r="X8" i="29"/>
  <c r="X11" i="29"/>
  <c r="AA11" i="29" s="1"/>
  <c r="T16" i="29"/>
  <c r="AD16" i="29" s="1"/>
  <c r="AH16" i="29" s="1"/>
  <c r="U22" i="29"/>
  <c r="U15" i="29"/>
  <c r="T18" i="29"/>
  <c r="AD18" i="29" s="1"/>
  <c r="AH18" i="29" s="1"/>
  <c r="U14" i="29"/>
  <c r="U21" i="29"/>
  <c r="U13" i="29"/>
  <c r="U20" i="29"/>
  <c r="U12" i="29"/>
  <c r="U19" i="29"/>
  <c r="U11" i="29"/>
  <c r="T8" i="29"/>
  <c r="AJ14" i="29" l="1"/>
  <c r="AJ17" i="29"/>
  <c r="AJ10" i="29"/>
  <c r="AI22" i="29"/>
  <c r="AJ12" i="29"/>
  <c r="AI9" i="29"/>
  <c r="AJ15" i="29"/>
  <c r="AJ11" i="29"/>
  <c r="AI13" i="29"/>
  <c r="AJ20" i="29"/>
  <c r="AI20" i="29"/>
  <c r="AI12" i="29"/>
  <c r="AJ22" i="29"/>
  <c r="AL22" i="29" s="1"/>
  <c r="AN22" i="29" s="1"/>
  <c r="AJ18" i="29"/>
  <c r="AI19" i="29"/>
  <c r="AB23" i="29"/>
  <c r="AI14" i="29"/>
  <c r="AL14" i="29" s="1"/>
  <c r="AN14" i="29" s="1"/>
  <c r="Z23" i="29"/>
  <c r="AI17" i="29"/>
  <c r="AL17" i="29" s="1"/>
  <c r="AN17" i="29" s="1"/>
  <c r="Y23" i="29"/>
  <c r="AI8" i="29"/>
  <c r="AI18" i="29"/>
  <c r="AL18" i="29" s="1"/>
  <c r="AN18" i="29" s="1"/>
  <c r="AJ16" i="29"/>
  <c r="AJ9" i="29"/>
  <c r="AI21" i="29"/>
  <c r="AI15" i="29"/>
  <c r="AA23" i="29"/>
  <c r="AJ8" i="29"/>
  <c r="AI10" i="29"/>
  <c r="AL10" i="29" s="1"/>
  <c r="AN10" i="29" s="1"/>
  <c r="AJ13" i="29"/>
  <c r="AI16" i="29"/>
  <c r="AJ21" i="29"/>
  <c r="V8" i="29"/>
  <c r="AD8" i="29"/>
  <c r="AC23" i="29"/>
  <c r="AC25" i="29" s="1"/>
  <c r="M39" i="32" s="1"/>
  <c r="M40" i="32" s="1"/>
  <c r="AK8" i="29"/>
  <c r="AK23" i="29" s="1"/>
  <c r="AI11" i="29"/>
  <c r="AJ19" i="29"/>
  <c r="AL15" i="29" l="1"/>
  <c r="AN15" i="29" s="1"/>
  <c r="AL13" i="29"/>
  <c r="AN13" i="29" s="1"/>
  <c r="AL11" i="29"/>
  <c r="AN11" i="29" s="1"/>
  <c r="AL19" i="29"/>
  <c r="AN19" i="29" s="1"/>
  <c r="AL9" i="29"/>
  <c r="AN9" i="29" s="1"/>
  <c r="AL12" i="29"/>
  <c r="AN12" i="29" s="1"/>
  <c r="Z25" i="29"/>
  <c r="K39" i="32" s="1"/>
  <c r="K40" i="32" s="1"/>
  <c r="AL16" i="29"/>
  <c r="AN16" i="29" s="1"/>
  <c r="AI23" i="29"/>
  <c r="AJ23" i="29"/>
  <c r="AL20" i="29"/>
  <c r="AN20" i="29" s="1"/>
  <c r="AD23" i="29"/>
  <c r="AD25" i="29" s="1"/>
  <c r="J39" i="32" s="1"/>
  <c r="AH8" i="29"/>
  <c r="AL21" i="29"/>
  <c r="AN21" i="29" s="1"/>
  <c r="AB25" i="29"/>
  <c r="L39" i="32" s="1"/>
  <c r="L40" i="32" s="1"/>
  <c r="AH23" i="29" l="1"/>
  <c r="AL8" i="29"/>
  <c r="J40" i="32"/>
  <c r="N39" i="32"/>
  <c r="C9" i="29"/>
  <c r="AG9" i="29" s="1"/>
  <c r="C10" i="29"/>
  <c r="AG10" i="29" s="1"/>
  <c r="C11" i="29"/>
  <c r="AG11" i="29" s="1"/>
  <c r="C12" i="29"/>
  <c r="AG12" i="29" s="1"/>
  <c r="C13" i="29"/>
  <c r="AG13" i="29" s="1"/>
  <c r="C14" i="29"/>
  <c r="AG14" i="29" s="1"/>
  <c r="C15" i="29"/>
  <c r="AG15" i="29" s="1"/>
  <c r="C16" i="29"/>
  <c r="AG16" i="29" s="1"/>
  <c r="C17" i="29"/>
  <c r="AG17" i="29" s="1"/>
  <c r="C18" i="29"/>
  <c r="AG18" i="29" s="1"/>
  <c r="C19" i="29"/>
  <c r="AG19" i="29" s="1"/>
  <c r="C20" i="29"/>
  <c r="AG20" i="29" s="1"/>
  <c r="C21" i="29"/>
  <c r="AG21" i="29" s="1"/>
  <c r="C22" i="29"/>
  <c r="AG22" i="29" s="1"/>
  <c r="AD8" i="26"/>
  <c r="AE8" i="26"/>
  <c r="AF8" i="26"/>
  <c r="AD9" i="26"/>
  <c r="AE9" i="26"/>
  <c r="C9" i="26" s="1"/>
  <c r="AF9" i="26"/>
  <c r="AD10" i="26"/>
  <c r="AE10" i="26"/>
  <c r="C10" i="26" s="1"/>
  <c r="AF10" i="26"/>
  <c r="AD11" i="26"/>
  <c r="AE11" i="26"/>
  <c r="C11" i="26" s="1"/>
  <c r="AF11" i="26"/>
  <c r="AD12" i="26"/>
  <c r="AE12" i="26"/>
  <c r="C12" i="26" s="1"/>
  <c r="AF12" i="26"/>
  <c r="AD13" i="26"/>
  <c r="AE13" i="26"/>
  <c r="C13" i="26" s="1"/>
  <c r="AF13" i="26"/>
  <c r="AD14" i="26"/>
  <c r="AE14" i="26"/>
  <c r="C14" i="26" s="1"/>
  <c r="AF14" i="26"/>
  <c r="AD15" i="26"/>
  <c r="AE15" i="26"/>
  <c r="C15" i="26" s="1"/>
  <c r="AF15" i="26"/>
  <c r="AD16" i="26"/>
  <c r="AE16" i="26"/>
  <c r="C16" i="26" s="1"/>
  <c r="AF16" i="26"/>
  <c r="AD17" i="26"/>
  <c r="AE17" i="26"/>
  <c r="C17" i="26" s="1"/>
  <c r="AF17" i="26"/>
  <c r="AD18" i="26"/>
  <c r="AE18" i="26"/>
  <c r="C18" i="26" s="1"/>
  <c r="AF18" i="26"/>
  <c r="AD19" i="26"/>
  <c r="AE19" i="26"/>
  <c r="C19" i="26" s="1"/>
  <c r="AF19" i="26"/>
  <c r="AD20" i="26"/>
  <c r="AE20" i="26"/>
  <c r="C20" i="26" s="1"/>
  <c r="AF20" i="26"/>
  <c r="AD21" i="26"/>
  <c r="AE21" i="26"/>
  <c r="C21" i="26" s="1"/>
  <c r="AF21" i="26"/>
  <c r="AH16" i="26"/>
  <c r="AI16" i="26" s="1"/>
  <c r="AU16" i="26" s="1"/>
  <c r="AH17" i="26"/>
  <c r="AI17" i="26" s="1"/>
  <c r="AU17" i="26" s="1"/>
  <c r="AH18" i="26"/>
  <c r="AI18" i="26" s="1"/>
  <c r="AU18" i="26" s="1"/>
  <c r="AS8" i="26"/>
  <c r="AV8" i="26" s="1"/>
  <c r="AS9" i="26"/>
  <c r="AV9" i="26" s="1"/>
  <c r="AS10" i="26"/>
  <c r="AV10" i="26" s="1"/>
  <c r="AS11" i="26"/>
  <c r="AV11" i="26" s="1"/>
  <c r="AS12" i="26"/>
  <c r="AV12" i="26" s="1"/>
  <c r="AS13" i="26"/>
  <c r="AV13" i="26" s="1"/>
  <c r="AS14" i="26"/>
  <c r="AV14" i="26" s="1"/>
  <c r="AS15" i="26"/>
  <c r="AV15" i="26" s="1"/>
  <c r="AS16" i="26"/>
  <c r="AV16" i="26" s="1"/>
  <c r="AS17" i="26"/>
  <c r="AV17" i="26" s="1"/>
  <c r="AS18" i="26"/>
  <c r="AV18" i="26" s="1"/>
  <c r="AS19" i="26"/>
  <c r="AV19" i="26" s="1"/>
  <c r="AS20" i="26"/>
  <c r="AV20" i="26" s="1"/>
  <c r="AS21" i="26"/>
  <c r="AV21" i="26" s="1"/>
  <c r="AS7" i="26"/>
  <c r="AV7" i="26" s="1"/>
  <c r="AF7" i="26"/>
  <c r="AE7" i="26"/>
  <c r="AD7" i="26"/>
  <c r="C8" i="26" l="1"/>
  <c r="AN8" i="29"/>
  <c r="AN23" i="29" s="1"/>
  <c r="AL23" i="29"/>
  <c r="AV22" i="26"/>
  <c r="E38" i="32" s="1"/>
  <c r="C8" i="29"/>
  <c r="AG8" i="29" s="1"/>
  <c r="T1048554" i="29"/>
  <c r="K140" i="27" l="1"/>
  <c r="J50" i="27"/>
  <c r="H50" i="27"/>
  <c r="J48" i="27"/>
  <c r="H48" i="27"/>
  <c r="J47" i="27"/>
  <c r="H47" i="27"/>
  <c r="J46" i="27"/>
  <c r="H46" i="27"/>
  <c r="J44" i="27"/>
  <c r="H44" i="27"/>
  <c r="J43" i="27"/>
  <c r="H43" i="27"/>
  <c r="J42" i="27"/>
  <c r="H42" i="27"/>
  <c r="J41" i="27"/>
  <c r="H41" i="27"/>
  <c r="J40" i="27"/>
  <c r="H40" i="27"/>
  <c r="J39" i="27"/>
  <c r="H39" i="27"/>
  <c r="J38" i="27"/>
  <c r="H38" i="27"/>
  <c r="J33" i="27"/>
  <c r="H33" i="27"/>
  <c r="J32" i="27"/>
  <c r="H32" i="27"/>
  <c r="J31" i="27"/>
  <c r="H31" i="27"/>
  <c r="J30" i="27"/>
  <c r="H30" i="27"/>
  <c r="J29" i="27"/>
  <c r="H29" i="27"/>
  <c r="J28" i="27"/>
  <c r="H28" i="27"/>
  <c r="J27" i="27"/>
  <c r="H27" i="27"/>
  <c r="J26" i="27"/>
  <c r="H26" i="27"/>
  <c r="J25" i="27"/>
  <c r="H25" i="27"/>
  <c r="J24" i="27"/>
  <c r="H24" i="27"/>
  <c r="J23" i="27"/>
  <c r="H23" i="27"/>
  <c r="J22" i="27"/>
  <c r="H22" i="27"/>
  <c r="J21" i="27"/>
  <c r="H21" i="27"/>
  <c r="AR21" i="26"/>
  <c r="AX21" i="26" s="1"/>
  <c r="AQ21" i="26"/>
  <c r="AW21" i="26" s="1"/>
  <c r="AJ21" i="26"/>
  <c r="AM21" i="26" s="1"/>
  <c r="AP21" i="26" s="1"/>
  <c r="AZ21" i="26" s="1"/>
  <c r="AH21" i="26"/>
  <c r="AI21" i="26" s="1"/>
  <c r="AU21" i="26" s="1"/>
  <c r="AR20" i="26"/>
  <c r="AX20" i="26" s="1"/>
  <c r="AQ20" i="26"/>
  <c r="AW20" i="26" s="1"/>
  <c r="AJ20" i="26"/>
  <c r="AM20" i="26" s="1"/>
  <c r="AP20" i="26" s="1"/>
  <c r="AZ20" i="26" s="1"/>
  <c r="AH20" i="26"/>
  <c r="AI20" i="26" s="1"/>
  <c r="AU20" i="26" s="1"/>
  <c r="AR19" i="26"/>
  <c r="AX19" i="26" s="1"/>
  <c r="AQ19" i="26"/>
  <c r="AW19" i="26" s="1"/>
  <c r="AJ19" i="26"/>
  <c r="AH19" i="26"/>
  <c r="AI19" i="26" s="1"/>
  <c r="AU19" i="26" s="1"/>
  <c r="AR18" i="26"/>
  <c r="AX18" i="26" s="1"/>
  <c r="AQ18" i="26"/>
  <c r="AW18" i="26" s="1"/>
  <c r="AJ18" i="26"/>
  <c r="AM18" i="26" s="1"/>
  <c r="AP18" i="26" s="1"/>
  <c r="AZ18" i="26" s="1"/>
  <c r="AR17" i="26"/>
  <c r="AX17" i="26" s="1"/>
  <c r="AQ17" i="26"/>
  <c r="AW17" i="26" s="1"/>
  <c r="AJ17" i="26"/>
  <c r="AL17" i="26" s="1"/>
  <c r="AY17" i="26" s="1"/>
  <c r="AR16" i="26"/>
  <c r="AX16" i="26" s="1"/>
  <c r="AQ16" i="26"/>
  <c r="AW16" i="26" s="1"/>
  <c r="AJ16" i="26"/>
  <c r="AM16" i="26" s="1"/>
  <c r="AP16" i="26" s="1"/>
  <c r="AZ16" i="26" s="1"/>
  <c r="AR15" i="26"/>
  <c r="AX15" i="26" s="1"/>
  <c r="AQ15" i="26"/>
  <c r="AW15" i="26" s="1"/>
  <c r="AJ15" i="26"/>
  <c r="AH15" i="26"/>
  <c r="AI15" i="26" s="1"/>
  <c r="AU15" i="26" s="1"/>
  <c r="AR14" i="26"/>
  <c r="AX14" i="26" s="1"/>
  <c r="AQ14" i="26"/>
  <c r="AW14" i="26" s="1"/>
  <c r="AJ14" i="26"/>
  <c r="AM14" i="26" s="1"/>
  <c r="AP14" i="26" s="1"/>
  <c r="AZ14" i="26" s="1"/>
  <c r="AH14" i="26"/>
  <c r="AI14" i="26" s="1"/>
  <c r="AU14" i="26" s="1"/>
  <c r="AR13" i="26"/>
  <c r="AX13" i="26" s="1"/>
  <c r="AQ13" i="26"/>
  <c r="AW13" i="26" s="1"/>
  <c r="AJ13" i="26"/>
  <c r="AL13" i="26" s="1"/>
  <c r="AY13" i="26" s="1"/>
  <c r="AH13" i="26"/>
  <c r="AI13" i="26" s="1"/>
  <c r="AU13" i="26" s="1"/>
  <c r="AR12" i="26"/>
  <c r="AX12" i="26" s="1"/>
  <c r="AQ12" i="26"/>
  <c r="AW12" i="26" s="1"/>
  <c r="AJ12" i="26"/>
  <c r="AM12" i="26" s="1"/>
  <c r="AP12" i="26" s="1"/>
  <c r="AZ12" i="26" s="1"/>
  <c r="AH12" i="26"/>
  <c r="AI12" i="26" s="1"/>
  <c r="AU12" i="26" s="1"/>
  <c r="AR11" i="26"/>
  <c r="AX11" i="26" s="1"/>
  <c r="AQ11" i="26"/>
  <c r="AW11" i="26" s="1"/>
  <c r="AJ11" i="26"/>
  <c r="AH11" i="26"/>
  <c r="AI11" i="26" s="1"/>
  <c r="AU11" i="26" s="1"/>
  <c r="AR10" i="26"/>
  <c r="AX10" i="26" s="1"/>
  <c r="AQ10" i="26"/>
  <c r="AW10" i="26" s="1"/>
  <c r="AJ10" i="26"/>
  <c r="AM10" i="26" s="1"/>
  <c r="AP10" i="26" s="1"/>
  <c r="AZ10" i="26" s="1"/>
  <c r="AH10" i="26"/>
  <c r="AI10" i="26" s="1"/>
  <c r="AU10" i="26" s="1"/>
  <c r="AR9" i="26"/>
  <c r="AX9" i="26" s="1"/>
  <c r="AQ9" i="26"/>
  <c r="AW9" i="26" s="1"/>
  <c r="AJ9" i="26"/>
  <c r="AL9" i="26" s="1"/>
  <c r="AY9" i="26" s="1"/>
  <c r="AH9" i="26"/>
  <c r="AI9" i="26" s="1"/>
  <c r="AU9" i="26" s="1"/>
  <c r="AR8" i="26"/>
  <c r="AX8" i="26" s="1"/>
  <c r="AQ8" i="26"/>
  <c r="AW8" i="26" s="1"/>
  <c r="AJ8" i="26"/>
  <c r="AH8" i="26"/>
  <c r="AI8" i="26" s="1"/>
  <c r="AU8" i="26" s="1"/>
  <c r="AS22" i="26"/>
  <c r="AR7" i="26"/>
  <c r="AX7" i="26" s="1"/>
  <c r="AQ7" i="26"/>
  <c r="AW7" i="26" s="1"/>
  <c r="AJ7" i="26"/>
  <c r="AH7" i="26"/>
  <c r="C7" i="26"/>
  <c r="AM17" i="26" l="1"/>
  <c r="AP17" i="26" s="1"/>
  <c r="AZ17" i="26" s="1"/>
  <c r="AL14" i="26"/>
  <c r="AY14" i="26" s="1"/>
  <c r="BA14" i="26" s="1"/>
  <c r="BC14" i="26" s="1"/>
  <c r="AL10" i="26"/>
  <c r="AY10" i="26" s="1"/>
  <c r="AX22" i="26"/>
  <c r="G38" i="32" s="1"/>
  <c r="G40" i="32" s="1"/>
  <c r="AL18" i="26"/>
  <c r="AY18" i="26" s="1"/>
  <c r="BA18" i="26" s="1"/>
  <c r="BC18" i="26" s="1"/>
  <c r="AW22" i="26"/>
  <c r="F38" i="32" s="1"/>
  <c r="AQ22" i="26"/>
  <c r="AK9" i="26"/>
  <c r="AN9" i="26"/>
  <c r="AO9" i="26"/>
  <c r="AO13" i="26"/>
  <c r="AK13" i="26"/>
  <c r="AN13" i="26"/>
  <c r="AL20" i="26"/>
  <c r="AY20" i="26" s="1"/>
  <c r="BA20" i="26" s="1"/>
  <c r="BC20" i="26" s="1"/>
  <c r="AR22" i="26"/>
  <c r="AM13" i="26"/>
  <c r="AP13" i="26" s="1"/>
  <c r="AZ13" i="26" s="1"/>
  <c r="BA13" i="26" s="1"/>
  <c r="BC13" i="26" s="1"/>
  <c r="AO7" i="26"/>
  <c r="AK7" i="26"/>
  <c r="AL7" i="26" s="1"/>
  <c r="AY7" i="26" s="1"/>
  <c r="AN7" i="26"/>
  <c r="AK19" i="26"/>
  <c r="AO19" i="26"/>
  <c r="AN19" i="26"/>
  <c r="AM9" i="26"/>
  <c r="AP9" i="26" s="1"/>
  <c r="AZ9" i="26" s="1"/>
  <c r="BA9" i="26" s="1"/>
  <c r="BC9" i="26" s="1"/>
  <c r="AN12" i="26"/>
  <c r="AK12" i="26"/>
  <c r="AO12" i="26"/>
  <c r="AL16" i="26"/>
  <c r="AY16" i="26" s="1"/>
  <c r="BA16" i="26" s="1"/>
  <c r="BC16" i="26" s="1"/>
  <c r="AL19" i="26"/>
  <c r="AY19" i="26" s="1"/>
  <c r="AL12" i="26"/>
  <c r="AY12" i="26" s="1"/>
  <c r="BA12" i="26" s="1"/>
  <c r="BC12" i="26" s="1"/>
  <c r="AK18" i="26"/>
  <c r="AN18" i="26"/>
  <c r="AO18" i="26"/>
  <c r="AM19" i="26"/>
  <c r="AP19" i="26" s="1"/>
  <c r="AZ19" i="26" s="1"/>
  <c r="AN20" i="26"/>
  <c r="AK20" i="26"/>
  <c r="AO20" i="26"/>
  <c r="AK8" i="26"/>
  <c r="AL8" i="26" s="1"/>
  <c r="AY8" i="26" s="1"/>
  <c r="AN8" i="26"/>
  <c r="AO8" i="26"/>
  <c r="AO11" i="26"/>
  <c r="AK11" i="26"/>
  <c r="AN11" i="26"/>
  <c r="BA17" i="26"/>
  <c r="BC17" i="26" s="1"/>
  <c r="AN15" i="26"/>
  <c r="AO15" i="26"/>
  <c r="AK15" i="26"/>
  <c r="BA10" i="26"/>
  <c r="BC10" i="26" s="1"/>
  <c r="AL11" i="26"/>
  <c r="AY11" i="26" s="1"/>
  <c r="AK21" i="26"/>
  <c r="AO21" i="26"/>
  <c r="AN21" i="26"/>
  <c r="AK16" i="26"/>
  <c r="AN16" i="26"/>
  <c r="AO16" i="26"/>
  <c r="AL15" i="26"/>
  <c r="AY15" i="26" s="1"/>
  <c r="AH22" i="26"/>
  <c r="AI7" i="26"/>
  <c r="AU7" i="26" s="1"/>
  <c r="AU22" i="26" s="1"/>
  <c r="D38" i="32" s="1"/>
  <c r="D40" i="32" s="1"/>
  <c r="AK10" i="26"/>
  <c r="AN10" i="26"/>
  <c r="AO10" i="26"/>
  <c r="AM11" i="26"/>
  <c r="AP11" i="26" s="1"/>
  <c r="AZ11" i="26" s="1"/>
  <c r="AO14" i="26"/>
  <c r="AN14" i="26"/>
  <c r="AK14" i="26"/>
  <c r="AM15" i="26"/>
  <c r="AP15" i="26" s="1"/>
  <c r="AZ15" i="26" s="1"/>
  <c r="AK17" i="26"/>
  <c r="AN17" i="26"/>
  <c r="AO17" i="26"/>
  <c r="AL21" i="26"/>
  <c r="AY21" i="26" s="1"/>
  <c r="BA21" i="26" s="1"/>
  <c r="BC21" i="26" s="1"/>
  <c r="AJ22" i="26"/>
  <c r="AM7" i="26"/>
  <c r="AM8" i="26"/>
  <c r="AP8" i="26" s="1"/>
  <c r="AZ8" i="26" s="1"/>
  <c r="F40" i="32" l="1"/>
  <c r="BA15" i="26"/>
  <c r="BC15" i="26" s="1"/>
  <c r="AP7" i="26"/>
  <c r="AP22" i="26" s="1"/>
  <c r="AY22" i="26"/>
  <c r="H38" i="32" s="1"/>
  <c r="BA8" i="26"/>
  <c r="BC8" i="26" s="1"/>
  <c r="AI22" i="26"/>
  <c r="BA11" i="26"/>
  <c r="BC11" i="26" s="1"/>
  <c r="BA19" i="26"/>
  <c r="BC19" i="26" s="1"/>
  <c r="AL22" i="26"/>
  <c r="AM22" i="26"/>
  <c r="AZ7" i="26" l="1"/>
  <c r="BA7" i="26" s="1"/>
  <c r="N37" i="32"/>
  <c r="E40" i="32"/>
  <c r="N35" i="32"/>
  <c r="AZ22" i="26" l="1"/>
  <c r="I38" i="32" s="1"/>
  <c r="N36" i="32"/>
  <c r="I40" i="32"/>
  <c r="H40" i="32"/>
  <c r="N38" i="32"/>
  <c r="BA22" i="26"/>
  <c r="BC7" i="26"/>
  <c r="BC22" i="26" s="1"/>
  <c r="J14" i="32" l="1"/>
  <c r="J15" i="32" s="1"/>
  <c r="N40" i="32"/>
</calcChain>
</file>

<file path=xl/comments1.xml><?xml version="1.0" encoding="utf-8"?>
<comments xmlns="http://schemas.openxmlformats.org/spreadsheetml/2006/main">
  <authors>
    <author>JOSE VALCI PEREIRA RIOS</author>
  </authors>
  <commentList>
    <comment ref="R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quantidade de Diárias com até 1 (uma) casa decimal. Exemplo: - Meia diária = 0,5; Uma diária e meia = 1,5; Três diárias = 3,0</t>
        </r>
      </text>
    </comment>
    <comment ref="S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Quantidade de Km para executar a Missão - IDA e VOLTA - em Números Inteiros</t>
        </r>
      </text>
    </comment>
    <comment ref="Z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Quantidade de Eventos/Atividades Semelhantes que irão ocorrer no Período/Ano</t>
        </r>
      </text>
    </comment>
    <comment ref="AA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Média de Km a ser consumida em por Evento/Atividade</t>
        </r>
      </text>
    </comment>
    <comment ref="AB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Quantidade MÉDIA de Diárias por EVENTO. Informar com até 1 (uma) casa decimal.</t>
        </r>
      </text>
    </comment>
    <comment ref="AD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Em MÉDIA quantas HORAS o Veículo ficará a disposição, por Evento/Atividade? 
Considere na contagem o Momento em que o Veículo estacionou para o Embarque até o momento em que ele retorna à origem e há o Desembarque e liberação do veículo (FIM da missão)</t>
        </r>
      </text>
    </comment>
    <comment ref="AH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quantidade de Diárias com até 1 (uma) casa decimal. Exemplo: - Meia diária = 0,5; Uma diária e meia = 1,5; Três diárias = 3,0</t>
        </r>
      </text>
    </comment>
    <comment ref="AK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Para quantos Servidores/Convidados será autorizado pagamento de Taxa de Deslocamento (Embarque/Desembarque)</t>
        </r>
      </text>
    </comment>
    <comment ref="AM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Quantidade de Km para executar a Missão - IDA e VOLTA - em Números Inteiros</t>
        </r>
      </text>
    </comment>
    <comment ref="AN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Em MÉDIA quantas HORAS o Veículo ficará a disposição, por Evento/Atividade? 
Considere na contagem o Momento em que o Veículo estacionou para o Embarque até o momento em que ele retorna à origem e há o Desembarque e liberação do veículo (FIM da missão)</t>
        </r>
      </text>
    </comment>
    <comment ref="N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Data no formato dd/mm/aaaa</t>
        </r>
      </text>
    </comment>
    <comment ref="O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Hora no formato hh:mm</t>
        </r>
      </text>
    </comment>
    <comment ref="P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Data no formato dd/mm/aaaa</t>
        </r>
      </text>
    </comment>
    <comment ref="Q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Hora no formato hh:mm</t>
        </r>
      </text>
    </comment>
    <comment ref="AI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Custo das Passagens Aéreas - IDA e VOLTA</t>
        </r>
      </text>
    </comment>
    <comment ref="AJ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Custo das Passagens Rodoviárias - IDA e VOLTA</t>
        </r>
      </text>
    </comment>
  </commentList>
</comments>
</file>

<file path=xl/comments2.xml><?xml version="1.0" encoding="utf-8"?>
<comments xmlns="http://schemas.openxmlformats.org/spreadsheetml/2006/main">
  <authors>
    <author>JOSE VALCI PEREIRA RIOS</author>
  </authors>
  <commentList>
    <comment ref="M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No caso de BANCAS DE TCC/DISSERTAÇÃO - Informar o período em que irão acorrer. Se ocorrerem em períodos distintos, por exemplo no 1º e 2º semestres, fazer um Plano para cada período.</t>
        </r>
      </text>
    </comment>
    <comment ref="Q5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quantidade de Diárias com até 1 (uma) casa decimal. Exemplo: - Meia diária = 0,5; Uma diária e meia = 1,5; Três diárias = 3,0</t>
        </r>
      </text>
    </comment>
    <comment ref="M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Data no formato dd/mm/aaaa</t>
        </r>
      </text>
    </comment>
    <comment ref="N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Data no formato dd/mm/aaaa</t>
        </r>
      </text>
    </comment>
    <comment ref="R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Custo das Passagens Aéreas - IDA e VOLTA</t>
        </r>
      </text>
    </comment>
    <comment ref="S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Custo das Passagens Rodoviárias - IDA e VOLTA</t>
        </r>
      </text>
    </comment>
    <comment ref="T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Para quantos Servidores/Convidados será autorizado pagamento de Taxa de Deslocamento (Embarque/Desembarque)</t>
        </r>
      </text>
    </comment>
    <comment ref="U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Quantidade de Km para executar a Missão - IDA e VOLTA - em Números Inteiros</t>
        </r>
      </text>
    </comment>
    <comment ref="W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Data no formato dd/mm/aaaa</t>
        </r>
      </text>
    </comment>
    <comment ref="X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Hora no formato hh:mm</t>
        </r>
      </text>
    </comment>
    <comment ref="Y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Data no formato dd/mm/aaaa</t>
        </r>
      </text>
    </comment>
    <comment ref="Z6" authorId="0" shapeId="0">
      <text>
        <r>
          <rPr>
            <b/>
            <sz val="9"/>
            <color indexed="81"/>
            <rFont val="Segoe UI"/>
            <family val="2"/>
          </rPr>
          <t>JOSE VALCI PEREIRA RIOS:</t>
        </r>
        <r>
          <rPr>
            <sz val="9"/>
            <color indexed="81"/>
            <rFont val="Segoe UI"/>
            <family val="2"/>
          </rPr>
          <t xml:space="preserve">
Informar Hora no formato hh:mm</t>
        </r>
      </text>
    </comment>
  </commentList>
</comments>
</file>

<file path=xl/sharedStrings.xml><?xml version="1.0" encoding="utf-8"?>
<sst xmlns="http://schemas.openxmlformats.org/spreadsheetml/2006/main" count="981" uniqueCount="591">
  <si>
    <t>Cursos / Setores</t>
  </si>
  <si>
    <t>Diárias&amp;Passagens</t>
  </si>
  <si>
    <t>Transportes</t>
  </si>
  <si>
    <t>Lim Especiais</t>
  </si>
  <si>
    <t>TRANSPORTES</t>
  </si>
  <si>
    <t>$ Distribuído</t>
  </si>
  <si>
    <t>$ MAX Planos</t>
  </si>
  <si>
    <t>OUTROS</t>
  </si>
  <si>
    <t>Áreas Experimentais</t>
  </si>
  <si>
    <t>SEG 3 C_ACAD</t>
  </si>
  <si>
    <t>CAAEX</t>
  </si>
  <si>
    <t>S3 CAC</t>
  </si>
  <si>
    <t>Cons AEX</t>
  </si>
  <si>
    <t>Viagens de Estudo</t>
  </si>
  <si>
    <t>1.1</t>
  </si>
  <si>
    <t>VAT</t>
  </si>
  <si>
    <t>Transp</t>
  </si>
  <si>
    <t>$ Km</t>
  </si>
  <si>
    <t>$ hora Disp</t>
  </si>
  <si>
    <t>Ass Comunicação</t>
  </si>
  <si>
    <t>SEG 3 DIR</t>
  </si>
  <si>
    <t>ASSCOM</t>
  </si>
  <si>
    <t>S3 DIR</t>
  </si>
  <si>
    <t>Trabalho de Campo</t>
  </si>
  <si>
    <t>1.2</t>
  </si>
  <si>
    <t>Ônibus</t>
  </si>
  <si>
    <t>Ass Eventos</t>
  </si>
  <si>
    <t>ASSEV</t>
  </si>
  <si>
    <t>Visita Técnica</t>
  </si>
  <si>
    <t>1.3</t>
  </si>
  <si>
    <t>Micro ônibus</t>
  </si>
  <si>
    <t>Ass Gestão Adm Serv</t>
  </si>
  <si>
    <t>SEG 3 C_ADM</t>
  </si>
  <si>
    <t>ASSGAS</t>
  </si>
  <si>
    <t>S3 CAD</t>
  </si>
  <si>
    <t>Mat Exped</t>
  </si>
  <si>
    <t>Outras Viagens</t>
  </si>
  <si>
    <t>1.4</t>
  </si>
  <si>
    <t>Van</t>
  </si>
  <si>
    <t>Ass Gestão Pessoas</t>
  </si>
  <si>
    <t>ASSGEP</t>
  </si>
  <si>
    <t>EVENTOS</t>
  </si>
  <si>
    <t>Aula Inaugural</t>
  </si>
  <si>
    <t>2.1</t>
  </si>
  <si>
    <t>EVE</t>
  </si>
  <si>
    <t>Carro 1.0</t>
  </si>
  <si>
    <t>Ass Infraestrutura</t>
  </si>
  <si>
    <t>ASSINFR</t>
  </si>
  <si>
    <t>Bancas de TCCs/Dissertação</t>
  </si>
  <si>
    <t>2.2</t>
  </si>
  <si>
    <t>Ass Logística</t>
  </si>
  <si>
    <t>ASSLOG</t>
  </si>
  <si>
    <t>Colóquio</t>
  </si>
  <si>
    <t>2.3</t>
  </si>
  <si>
    <t>Coeficiente de Redução da Disponibilidade</t>
  </si>
  <si>
    <t>Ass Planejamento</t>
  </si>
  <si>
    <t>ASSPLAN</t>
  </si>
  <si>
    <t>Congresso</t>
  </si>
  <si>
    <t>2.4</t>
  </si>
  <si>
    <t>Até 300 Km</t>
  </si>
  <si>
    <t>Biblioteca</t>
  </si>
  <si>
    <t>BIB</t>
  </si>
  <si>
    <t>NAP - Formação Constinuada</t>
  </si>
  <si>
    <t>2.5</t>
  </si>
  <si>
    <t>De 301 a 600</t>
  </si>
  <si>
    <t>CAPPG</t>
  </si>
  <si>
    <t>Palestras</t>
  </si>
  <si>
    <t>2.6</t>
  </si>
  <si>
    <t>De 601 a 900</t>
  </si>
  <si>
    <t>Coordenação Acadêmica</t>
  </si>
  <si>
    <t>C_ACAD</t>
  </si>
  <si>
    <t>Semana Acadêmica</t>
  </si>
  <si>
    <t>2.7</t>
  </si>
  <si>
    <t>De 901 a 1200</t>
  </si>
  <si>
    <t>Coordenação Administrativa</t>
  </si>
  <si>
    <t>C_ADM</t>
  </si>
  <si>
    <t>Seminário</t>
  </si>
  <si>
    <t>2.8</t>
  </si>
  <si>
    <t>De 1201 a 1500</t>
  </si>
  <si>
    <t>Coordenação Laboratórios</t>
  </si>
  <si>
    <t>CLAB</t>
  </si>
  <si>
    <t>Cons Lab</t>
  </si>
  <si>
    <t>Outros Eventos</t>
  </si>
  <si>
    <t>2.9</t>
  </si>
  <si>
    <t>Acima de 1501</t>
  </si>
  <si>
    <t>Curso de Administração</t>
  </si>
  <si>
    <t>SEG 1 GRAD</t>
  </si>
  <si>
    <t>ADM</t>
  </si>
  <si>
    <t>S1 GRAD</t>
  </si>
  <si>
    <t>FUNCIONAMENTO</t>
  </si>
  <si>
    <t>Manut Equipamentos</t>
  </si>
  <si>
    <t>3.1</t>
  </si>
  <si>
    <t>FUN</t>
  </si>
  <si>
    <t>Curso de Agronomia</t>
  </si>
  <si>
    <t>AGRO</t>
  </si>
  <si>
    <t>Manutenção Preventiva</t>
  </si>
  <si>
    <t>3.2</t>
  </si>
  <si>
    <t>Curso de Ciências da Computação</t>
  </si>
  <si>
    <t>C COMP</t>
  </si>
  <si>
    <t>Pequenos Reparos</t>
  </si>
  <si>
    <t>3.3</t>
  </si>
  <si>
    <t>Curso de Ciências Sociais</t>
  </si>
  <si>
    <t>C SOC</t>
  </si>
  <si>
    <t>3.4</t>
  </si>
  <si>
    <t>Curso de Enfermagem</t>
  </si>
  <si>
    <t>ENF</t>
  </si>
  <si>
    <t>Outros Gastos</t>
  </si>
  <si>
    <t>3.5</t>
  </si>
  <si>
    <t>Curso de Engenharia Ambiental</t>
  </si>
  <si>
    <t>EngAmb</t>
  </si>
  <si>
    <t>Estágios</t>
  </si>
  <si>
    <t>4.1</t>
  </si>
  <si>
    <t>EST</t>
  </si>
  <si>
    <t>Curso de Filosofia</t>
  </si>
  <si>
    <t>FIL</t>
  </si>
  <si>
    <t>TCC</t>
  </si>
  <si>
    <t>4.2</t>
  </si>
  <si>
    <t>Curso de Geografia</t>
  </si>
  <si>
    <t>GEO</t>
  </si>
  <si>
    <t>Assist Domiciliar</t>
  </si>
  <si>
    <t>4.3</t>
  </si>
  <si>
    <t>Curso de História</t>
  </si>
  <si>
    <t>HIS</t>
  </si>
  <si>
    <t>Aulas POS/MESTRADO</t>
  </si>
  <si>
    <t>4.4</t>
  </si>
  <si>
    <t>Curso de Letras</t>
  </si>
  <si>
    <t>LET</t>
  </si>
  <si>
    <t>Atividade Saídas de Campo</t>
  </si>
  <si>
    <t>4.5</t>
  </si>
  <si>
    <t>Curso de Matemática</t>
  </si>
  <si>
    <t>MAT</t>
  </si>
  <si>
    <t>Outras Atividades</t>
  </si>
  <si>
    <t>Curso de Medicina</t>
  </si>
  <si>
    <t>MED</t>
  </si>
  <si>
    <t>CONSUMÍVEIS</t>
  </si>
  <si>
    <t>Latoratórios - Consumo</t>
  </si>
  <si>
    <t>C-LAB</t>
  </si>
  <si>
    <t>Curso de Pedagogia</t>
  </si>
  <si>
    <t>PED</t>
  </si>
  <si>
    <t>Latoratórios - Outros</t>
  </si>
  <si>
    <t>O-LAB</t>
  </si>
  <si>
    <t>Direção</t>
  </si>
  <si>
    <t>DIR</t>
  </si>
  <si>
    <t>Áreas Experimentais - Consumo</t>
  </si>
  <si>
    <t>C-AEX</t>
  </si>
  <si>
    <t>Fórum das Licenciaturas</t>
  </si>
  <si>
    <t>Forum_LIC</t>
  </si>
  <si>
    <t>Áreas Experimentais - Outros</t>
  </si>
  <si>
    <t>O-AEX</t>
  </si>
  <si>
    <t>NAP - Núcleo de Apoio Pedagógico</t>
  </si>
  <si>
    <t>NAP</t>
  </si>
  <si>
    <t>Consumo Materiais Expediente</t>
  </si>
  <si>
    <t>M-CC</t>
  </si>
  <si>
    <t>NEABI</t>
  </si>
  <si>
    <t>At Ens</t>
  </si>
  <si>
    <t>Consumo Atividades de Ensino</t>
  </si>
  <si>
    <t>6.1</t>
  </si>
  <si>
    <t>CATEN</t>
  </si>
  <si>
    <t>CAtEn</t>
  </si>
  <si>
    <t>PG-Lato Sensu</t>
  </si>
  <si>
    <t>SEG 2 MEST-PG</t>
  </si>
  <si>
    <t>S2 MEST</t>
  </si>
  <si>
    <t>Consumo Outras Atividades</t>
  </si>
  <si>
    <t>6.2</t>
  </si>
  <si>
    <t>COAt</t>
  </si>
  <si>
    <t>PPGCB - Ciências Biomédicas</t>
  </si>
  <si>
    <t>PPGCB</t>
  </si>
  <si>
    <t>Consumo Atividades CAAEX</t>
  </si>
  <si>
    <t>6.3</t>
  </si>
  <si>
    <t>CCAEX</t>
  </si>
  <si>
    <t>PPGE - Educação</t>
  </si>
  <si>
    <t>PPGE</t>
  </si>
  <si>
    <t>PPGEL - Estudos Linguísticos</t>
  </si>
  <si>
    <t>PPGEL</t>
  </si>
  <si>
    <t>PPGFil - Filosofia</t>
  </si>
  <si>
    <t>PPGFil</t>
  </si>
  <si>
    <t>COD CLASS ATIVIDADES</t>
  </si>
  <si>
    <t>PPGGeo - Geografia</t>
  </si>
  <si>
    <t>PPGGeo</t>
  </si>
  <si>
    <t>TIPO DE ATIVIDADE</t>
  </si>
  <si>
    <t>Caixa</t>
  </si>
  <si>
    <t>1.1 - Viagens de Estudo</t>
  </si>
  <si>
    <t>PPGH - História</t>
  </si>
  <si>
    <t>PPGH</t>
  </si>
  <si>
    <t>Ensino</t>
  </si>
  <si>
    <t>ENS</t>
  </si>
  <si>
    <t>Metro</t>
  </si>
  <si>
    <t>1.2 - Trabalho de Campo</t>
  </si>
  <si>
    <t>PROFMAT - Matemática</t>
  </si>
  <si>
    <t>PMAT</t>
  </si>
  <si>
    <t>Pesquisa</t>
  </si>
  <si>
    <t>PES</t>
  </si>
  <si>
    <t>PCT.</t>
  </si>
  <si>
    <t>1.3 - Visita Técnica</t>
  </si>
  <si>
    <t>RU - Rest Universitário</t>
  </si>
  <si>
    <t>RU</t>
  </si>
  <si>
    <t>Extensão</t>
  </si>
  <si>
    <t>EXT</t>
  </si>
  <si>
    <t>RESMA</t>
  </si>
  <si>
    <t>1.4 - Outras Viagens</t>
  </si>
  <si>
    <t>SAE - Assuntos Estudantis</t>
  </si>
  <si>
    <t>SAE</t>
  </si>
  <si>
    <t>Administrativa</t>
  </si>
  <si>
    <t>UND.</t>
  </si>
  <si>
    <t>2.1 - Aula Inaugural</t>
  </si>
  <si>
    <t>SECAC - Secr Acadêmica</t>
  </si>
  <si>
    <t>SECAC</t>
  </si>
  <si>
    <t>2.2 - Bancas de TCCs/Dissertação</t>
  </si>
  <si>
    <t>Secr Direção</t>
  </si>
  <si>
    <t>SECDIR</t>
  </si>
  <si>
    <t>2.3 - Colóquio</t>
  </si>
  <si>
    <t>SEGEC - Secr Geral Cursos</t>
  </si>
  <si>
    <t>SEGEC</t>
  </si>
  <si>
    <t>2.4 - Congresso</t>
  </si>
  <si>
    <t>Setor Acessibilidade</t>
  </si>
  <si>
    <t>SEACESS</t>
  </si>
  <si>
    <t>2.5 - NAP - Formação Constinuada</t>
  </si>
  <si>
    <t>TRANSP</t>
  </si>
  <si>
    <t>2.6 - Palestras</t>
  </si>
  <si>
    <t>2.7 - Semana Acadêmica</t>
  </si>
  <si>
    <t>2.8 - Seminário</t>
  </si>
  <si>
    <t>MONITORAMENTO</t>
  </si>
  <si>
    <t>2.9 - Outros Eventos</t>
  </si>
  <si>
    <t>SITUAÇÃO</t>
  </si>
  <si>
    <t>3.1 - Manut Equipamentos</t>
  </si>
  <si>
    <t>3.2 - Manutenção Preventiva</t>
  </si>
  <si>
    <t>3.3 - Pequenos Reparos</t>
  </si>
  <si>
    <t>3.4 - Serviços</t>
  </si>
  <si>
    <t>3.5 - Outros Gastos</t>
  </si>
  <si>
    <t>Viagens Acadêmicos e Técnicos</t>
  </si>
  <si>
    <t>Eventos</t>
  </si>
  <si>
    <t>Gestão de Funcionamento</t>
  </si>
  <si>
    <t>Estágios &amp; TCC</t>
  </si>
  <si>
    <t>Consumo Ativ Ensino</t>
  </si>
  <si>
    <t>CAE</t>
  </si>
  <si>
    <t>Consumo Laboratórios</t>
  </si>
  <si>
    <t>LAB</t>
  </si>
  <si>
    <t>Consumo Áreas Experimentais</t>
  </si>
  <si>
    <t>AEX</t>
  </si>
  <si>
    <t>Consumo Material Expediente</t>
  </si>
  <si>
    <t>6.1 - Consumo Atividades de Ensino</t>
  </si>
  <si>
    <t>6.2 - Consumo Outras Atividades</t>
  </si>
  <si>
    <t>MESES</t>
  </si>
  <si>
    <t>6.3 - Consumo Atividades CAAEX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</si>
  <si>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</si>
  <si>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</si>
  <si>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</si>
  <si>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</si>
  <si>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</si>
  <si>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</si>
  <si>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</si>
  <si>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</si>
  <si>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</si>
  <si>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</si>
  <si>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</si>
  <si>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</si>
  <si>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Liberado</t>
  </si>
  <si>
    <t>DIÁRIAS</t>
  </si>
  <si>
    <t>TOTAL</t>
  </si>
  <si>
    <t>Viagens de TAEs - c/Passagens</t>
  </si>
  <si>
    <t>Ordem</t>
  </si>
  <si>
    <t>CÓDIGO do PLANO</t>
  </si>
  <si>
    <t>MONITORAMENTO DOS PLANOS DE AÇÃO</t>
  </si>
  <si>
    <t>Classificação do Plano</t>
  </si>
  <si>
    <t>Alinhamento</t>
  </si>
  <si>
    <t>Título</t>
  </si>
  <si>
    <t>Descrição</t>
  </si>
  <si>
    <t>Início da Viagem</t>
  </si>
  <si>
    <t>Final da Viagem</t>
  </si>
  <si>
    <t>Diárias (q)</t>
  </si>
  <si>
    <t>Km (ida/Volta)</t>
  </si>
  <si>
    <t>Meio Transporte</t>
  </si>
  <si>
    <t>Nº Passageiros</t>
  </si>
  <si>
    <t>Origem</t>
  </si>
  <si>
    <t>Destino</t>
  </si>
  <si>
    <t>Responsável pela Viagem</t>
  </si>
  <si>
    <t>Outras Informações/Comentários relevantes</t>
  </si>
  <si>
    <t>CÓD</t>
  </si>
  <si>
    <t>Aéreas (R$)</t>
  </si>
  <si>
    <t>Rodov. (R$)</t>
  </si>
  <si>
    <t>Taxa Desloc (Quant)</t>
  </si>
  <si>
    <t>Situação dos Planos</t>
  </si>
  <si>
    <t>% Execução</t>
  </si>
  <si>
    <t>Comentários/Justificativas</t>
  </si>
  <si>
    <t>Tipo Atividade</t>
  </si>
  <si>
    <t>Dimensões</t>
  </si>
  <si>
    <t>Data</t>
  </si>
  <si>
    <t>Hora</t>
  </si>
  <si>
    <t>Cidade</t>
  </si>
  <si>
    <t>UF</t>
  </si>
  <si>
    <t>Tipo</t>
  </si>
  <si>
    <t>Plano</t>
  </si>
  <si>
    <t>Ativ</t>
  </si>
  <si>
    <t>Quant</t>
  </si>
  <si>
    <t>Média ($)</t>
  </si>
  <si>
    <t>Km (q)</t>
  </si>
  <si>
    <t>R$ p/Km</t>
  </si>
  <si>
    <t>HD (q)</t>
  </si>
  <si>
    <t>R$ p/HD</t>
  </si>
  <si>
    <t>Coefic.</t>
  </si>
  <si>
    <t>HD (R$)</t>
  </si>
  <si>
    <t>1 - Acadêmico-Pedagógica</t>
  </si>
  <si>
    <t>EVENTOS - Realizados pela UFFS: Semanas Acadêmicas / Congressos / Seminários / Colóquios / Palestras</t>
  </si>
  <si>
    <t>Se eventualmente for utilizado Transporte, por conta da UFFS, informar:</t>
  </si>
  <si>
    <t>Permanência do Convidado</t>
  </si>
  <si>
    <t>Passagens (ida/volta) e Tx Deslocamento</t>
  </si>
  <si>
    <t>Quilometragem/meio de transporte</t>
  </si>
  <si>
    <t>Tipo de Evento</t>
  </si>
  <si>
    <t>Data Início</t>
  </si>
  <si>
    <t>Data Final</t>
  </si>
  <si>
    <t>Quant Eventos no Período/Ano</t>
  </si>
  <si>
    <t>Média de Km por Evento</t>
  </si>
  <si>
    <t>Média de Diárias por Evento(q)</t>
  </si>
  <si>
    <t>Período de Execução</t>
  </si>
  <si>
    <t>Média de Horas de Disponibilidade</t>
  </si>
  <si>
    <t>Quant Eventos</t>
  </si>
  <si>
    <t>Km Por Evento</t>
  </si>
  <si>
    <t>Km (q) Total</t>
  </si>
  <si>
    <t>Transp Km em R$</t>
  </si>
  <si>
    <t>Média HD (q)</t>
  </si>
  <si>
    <t>Total HD (q)</t>
  </si>
  <si>
    <t>Início</t>
  </si>
  <si>
    <t>Fim</t>
  </si>
  <si>
    <t>Previsão Temporal</t>
  </si>
  <si>
    <t>Estimativa de Custos (R$)</t>
  </si>
  <si>
    <t>Setores Envolvidos</t>
  </si>
  <si>
    <t>Responsável</t>
  </si>
  <si>
    <t>Finalidade</t>
  </si>
  <si>
    <t>Seq</t>
  </si>
  <si>
    <t>Lab_MEx</t>
  </si>
  <si>
    <t>Lab C</t>
  </si>
  <si>
    <t>Lab O</t>
  </si>
  <si>
    <t>CAEX C</t>
  </si>
  <si>
    <t>CAEX O</t>
  </si>
  <si>
    <t>Mat Exp</t>
  </si>
  <si>
    <t>Distr</t>
  </si>
  <si>
    <t>OBSERVAÇÕES:</t>
  </si>
  <si>
    <t>2 - Administrativa</t>
  </si>
  <si>
    <t>3 - Pessoas</t>
  </si>
  <si>
    <t>7 - Outras</t>
  </si>
  <si>
    <t>5 - Infraestrutura</t>
  </si>
  <si>
    <t>6 - Consolidação e Expansão</t>
  </si>
  <si>
    <t>4 - Relações com a Comunidade</t>
  </si>
  <si>
    <t>W</t>
  </si>
  <si>
    <t>X</t>
  </si>
  <si>
    <t>Y</t>
  </si>
  <si>
    <t>Z</t>
  </si>
  <si>
    <t>DIÁRIAS E PASSAGENS</t>
  </si>
  <si>
    <t>TRAMSPORTES</t>
  </si>
  <si>
    <t>Utilizado</t>
  </si>
  <si>
    <t>ADMINISTRAÇÃO</t>
  </si>
  <si>
    <t>AGRONOMIA</t>
  </si>
  <si>
    <t>C COMPUTAÇÃO</t>
  </si>
  <si>
    <t>CIÊNCIAS SOCIAIS</t>
  </si>
  <si>
    <t>ENFERMAGEM</t>
  </si>
  <si>
    <t>ENG AMBIENTAL</t>
  </si>
  <si>
    <t>FILOSOFIA</t>
  </si>
  <si>
    <t>GEOGRAFIA</t>
  </si>
  <si>
    <t>HISTÓRIA</t>
  </si>
  <si>
    <t>LETRAS</t>
  </si>
  <si>
    <t>MATEMÁTICA</t>
  </si>
  <si>
    <t>MEDICINA</t>
  </si>
  <si>
    <t>PEDAGOGIA</t>
  </si>
  <si>
    <t>OUTROS  (Administrativo)</t>
  </si>
  <si>
    <t>AA</t>
  </si>
  <si>
    <t>Classificação do Cargo/Emprego/Função</t>
  </si>
  <si>
    <t>Brasília, Manaus, Rio de Janeiro, São Paulo</t>
  </si>
  <si>
    <t>Outras Capitais de Estados</t>
  </si>
  <si>
    <t>Demais Deslocamentos</t>
  </si>
  <si>
    <t>a) Ministros de Estado</t>
  </si>
  <si>
    <t>b) Cargos de Natureza Especial: CCE-18</t>
  </si>
  <si>
    <t>c) CCE-17; CCE-16; CCE-15; CCE-14; CCE-13 E equivalentes</t>
  </si>
  <si>
    <t>d) Demais cargos</t>
  </si>
  <si>
    <t>1-Não Executado</t>
  </si>
  <si>
    <t>2-Em Execução</t>
  </si>
  <si>
    <t>3-Executado</t>
  </si>
  <si>
    <t>4-Substituído/Transferido</t>
  </si>
  <si>
    <t>5-Cancelado</t>
  </si>
  <si>
    <t>Desconto Alimentação</t>
  </si>
  <si>
    <t>DIMENSÕES</t>
  </si>
  <si>
    <t>Serviços/Terceirizados</t>
  </si>
  <si>
    <t>PG-Lato Sensu Residência Agrícola</t>
  </si>
  <si>
    <t>PG-Lato Sensu Produção Vegetal</t>
  </si>
  <si>
    <t>PG-Lato Sensu Seguranças das Fronteiras</t>
  </si>
  <si>
    <t>PG-Lato Sensu Enf_Oncologia</t>
  </si>
  <si>
    <t>LS_ResAgric</t>
  </si>
  <si>
    <t>LS_ProdVegetal</t>
  </si>
  <si>
    <t>LS_SegFront</t>
  </si>
  <si>
    <t>LS_EnfOnco</t>
  </si>
  <si>
    <t>S2 LS</t>
  </si>
  <si>
    <t>CP Divulgação Acolhimento</t>
  </si>
  <si>
    <t>CPDA</t>
  </si>
  <si>
    <t>Transporte</t>
  </si>
  <si>
    <t>Diárias</t>
  </si>
  <si>
    <t>AG</t>
  </si>
  <si>
    <t>Horas Disponibilidade</t>
  </si>
  <si>
    <t>Decreto 11.872 de 29/12/2023  -  ALTERA  -  Decreto 5.992 de 19/12/2006 - ANEXO I</t>
  </si>
  <si>
    <t>ANEXO II ao Decreto 5.992 de 19/12/2006</t>
  </si>
  <si>
    <t>ESPÉCIE</t>
  </si>
  <si>
    <t>Valor R$</t>
  </si>
  <si>
    <t>Indenização de que trata o art. 16 da Lei nº 8.216, de 13 de agosto de 1991, alterado pelo art. 15 da Lei nº 8.270, de 17 de dezembro de 1991</t>
  </si>
  <si>
    <t>Adicional de que trata o art.8º deste Decreto</t>
  </si>
  <si>
    <t>TIPO DE PLANO DE AÇÃO</t>
  </si>
  <si>
    <t>Praticado em 2024</t>
  </si>
  <si>
    <t>Previsão para 2025 s/2024</t>
  </si>
  <si>
    <t>Tipo de Viagem/ Deslocamento</t>
  </si>
  <si>
    <t>CCR/Disciplina - Fase</t>
  </si>
  <si>
    <t>(***) Viagens Técnicas - Servidores - c/Passagens</t>
  </si>
  <si>
    <t>Como Atividades Rotineiras ou Contínuas entende-se aquelas com características semelhantes e que acontecem várias vezes durante o ano e que necessitam de Transporte e eventualmente, de diárias para a sua realização, como: a) Estágios; b) TCC; c) Aulas nos Programas de Pós-graduação Lato ou Stricto Sensu; d) Saídas (constantes) para Atividades Práticas e de Campo; e) Outras Atividades Rotineiras ou Contínuas.</t>
  </si>
  <si>
    <t xml:space="preserve">Essas Atividades poderão ser informadas de maneira agrupada em que cada grupo de atividades formem um único Plano de Ação. </t>
  </si>
  <si>
    <t>Viagens não Rotineiras ou Contínuas - são aquelas viagens normais de estudos, eventuais trabalhos de campo não contínuo e outras viagens com estas características</t>
  </si>
  <si>
    <t>Passagens</t>
  </si>
  <si>
    <t>(*) Se Viagens NÃO Rotineiras e/ou NÃO Contínuas</t>
  </si>
  <si>
    <t>(**) Se Atividades Rotineiras e/ou Contínuas</t>
  </si>
  <si>
    <t>Ordem de Prioridade</t>
  </si>
  <si>
    <t>Considerando os PAs de Eventos</t>
  </si>
  <si>
    <t>Considerando os PAs de Viagens</t>
  </si>
  <si>
    <t>VN</t>
  </si>
  <si>
    <t>VR</t>
  </si>
  <si>
    <t>VIAGENS NORMAIS e ROTINEIRAS</t>
  </si>
  <si>
    <t>Carro/Camionete da UFFS</t>
  </si>
  <si>
    <t>Média do Número de Passageiros</t>
  </si>
  <si>
    <t>1.5</t>
  </si>
  <si>
    <t>1.6</t>
  </si>
  <si>
    <t>1.7</t>
  </si>
  <si>
    <t>1.8</t>
  </si>
  <si>
    <t>1.9</t>
  </si>
  <si>
    <t>1.10</t>
  </si>
  <si>
    <t>1.5 - Estágios</t>
  </si>
  <si>
    <t>1.6 - TCC</t>
  </si>
  <si>
    <t>1.7 - Assist Domiciliar</t>
  </si>
  <si>
    <t>1.8 - Aulas POS/MESTRADO</t>
  </si>
  <si>
    <t>1.9 - Atividade Saídas de Campo</t>
  </si>
  <si>
    <t>1.10 - Outras Atividades</t>
  </si>
  <si>
    <t>4.1 - Latoratórios - Consumo</t>
  </si>
  <si>
    <t>4.2 - Latoratórios - Outros</t>
  </si>
  <si>
    <t>4.3 - Áreas Experimentais - Consumo</t>
  </si>
  <si>
    <t>4.4 - Áreas Experimentais - Outros</t>
  </si>
  <si>
    <t>4.5 - Consumo Materiais Expediente</t>
  </si>
  <si>
    <t>VT</t>
  </si>
  <si>
    <t>T-Dia</t>
  </si>
  <si>
    <t>VLR Dia</t>
  </si>
  <si>
    <t>Diárias de Viagens e Atividades</t>
  </si>
  <si>
    <t>Transporte e Horas Disponibilidade - Viagens Normais</t>
  </si>
  <si>
    <t>Transporte e Horas Disponibilidade Viagens/Atividades Rotineiras e/ou Contínuas</t>
  </si>
  <si>
    <t>Taxa Desloc (R$)</t>
  </si>
  <si>
    <t>Passagens Aéreas</t>
  </si>
  <si>
    <t>Taxa Desloc</t>
  </si>
  <si>
    <t>Passagens Rodov</t>
  </si>
  <si>
    <t>Total Ação</t>
  </si>
  <si>
    <t>FUNCI</t>
  </si>
  <si>
    <t>Serv. Terc.</t>
  </si>
  <si>
    <t>CAEX</t>
  </si>
  <si>
    <t>MAT EXP</t>
  </si>
  <si>
    <t>FUNC</t>
  </si>
  <si>
    <t xml:space="preserve">GESTÃO E FUNCIONAMENTO DO CAMPUS - Manutenções e Pequenos Reparos - Materiais de Consumo de Laboratórios e Áreas Experimentais - Materiais de Expediente </t>
  </si>
  <si>
    <t>PARA  UTILIZAÇÃO, prioritariamente, pelas Assessorias Administrativas (ASSINFR e ASSLOS - CLAB e CAAEX)</t>
  </si>
  <si>
    <t>IDENTIFICAÇÃO da UNIDADE</t>
  </si>
  <si>
    <t>Curso/Setor</t>
  </si>
  <si>
    <t>Coordenador</t>
  </si>
  <si>
    <t>Contatos</t>
  </si>
  <si>
    <t>Meio de Transporte</t>
  </si>
  <si>
    <t>Diárias ($)</t>
  </si>
  <si>
    <t>Organização de Eventos</t>
  </si>
  <si>
    <t>Gastos de Funcionamento</t>
  </si>
  <si>
    <t>Viagens - de Estudos e não rotineiras/contínuas</t>
  </si>
  <si>
    <t>Viagens - Atividades rotineiras e/ou contínuas</t>
  </si>
  <si>
    <t>Viagens - Visita Técnica - Servidores</t>
  </si>
  <si>
    <t>Consumo Mat de Expediente</t>
  </si>
  <si>
    <t>Gastos de Funcionamento e Materiais de Consumo</t>
  </si>
  <si>
    <t>Laboratório</t>
  </si>
  <si>
    <t>Gastos Funcion</t>
  </si>
  <si>
    <t>Mat Expediente</t>
  </si>
  <si>
    <t>N</t>
  </si>
  <si>
    <t>O</t>
  </si>
  <si>
    <t>P</t>
  </si>
  <si>
    <t>Q</t>
  </si>
  <si>
    <t>R</t>
  </si>
  <si>
    <t>S</t>
  </si>
  <si>
    <t>T</t>
  </si>
  <si>
    <t>U</t>
  </si>
  <si>
    <t>V</t>
  </si>
  <si>
    <t>AB</t>
  </si>
  <si>
    <t>AC</t>
  </si>
  <si>
    <t>AD</t>
  </si>
  <si>
    <t>AE</t>
  </si>
  <si>
    <t>AF</t>
  </si>
  <si>
    <t>AH</t>
  </si>
  <si>
    <t>AI</t>
  </si>
  <si>
    <t>AJ</t>
  </si>
  <si>
    <t>Gastos de Gestão e Funcionamento</t>
  </si>
  <si>
    <t>TOTAIS</t>
  </si>
  <si>
    <t>GASTOS GESTÃO e FUNCIONAMENTO</t>
  </si>
  <si>
    <t>TIPOS de PLANOS de AÇÃO</t>
  </si>
  <si>
    <t xml:space="preserve">PERFIL </t>
  </si>
  <si>
    <t>HISTÓRICO DE UTILIZAÇÃO DE RECURSOS</t>
  </si>
  <si>
    <t>Ano</t>
  </si>
  <si>
    <t>Diárias LIB</t>
  </si>
  <si>
    <t>Diárias UTIL</t>
  </si>
  <si>
    <t>% Utilização</t>
  </si>
  <si>
    <t>Transportes LIB</t>
  </si>
  <si>
    <t>Transportes UTIL</t>
  </si>
  <si>
    <t>TOTAL CURSOS GRADUAÇÃO</t>
  </si>
  <si>
    <t>PPGCB - C Biomédicas(a partir de 2021)</t>
  </si>
  <si>
    <t>PPGCB - C Biomédicas (a partir de 2021)</t>
  </si>
  <si>
    <t>PPGFil - Filosofia (a partir de 2019)</t>
  </si>
  <si>
    <t>PPGGeo - Geografia (a partir de 2019)</t>
  </si>
  <si>
    <t>PPGH - História (a partir de 2017)</t>
  </si>
  <si>
    <t>P G Lato Sensu Enf Oncologia (2018)</t>
  </si>
  <si>
    <t>TOTAL PROGRAMAS PÓS-GRADUAÇÃO</t>
  </si>
  <si>
    <t>RESOLUÇÃO 049/2022-CONSUNI/CPPGEC</t>
  </si>
  <si>
    <t>TOTAL GERAL</t>
  </si>
  <si>
    <t>PPGEnf</t>
  </si>
  <si>
    <t>DIFERENÇA</t>
  </si>
  <si>
    <t>PPGEnf - Enfermagem</t>
  </si>
  <si>
    <t>PROFIAP - Prof em Adm Pública</t>
  </si>
  <si>
    <t>PROFIAP</t>
  </si>
  <si>
    <t>TOTAL 24</t>
  </si>
  <si>
    <t>Total dos Planos de Ação - Planejamento 2025</t>
  </si>
  <si>
    <t>Valor TOTAL Liberado - 2024 (Diárias, Passagens + Transportes)</t>
  </si>
  <si>
    <t>ATENÇÃO:</t>
  </si>
  <si>
    <t>Se a diferença for NEGATIVA, retornar aos Planos de Ação e preencher as Colunas "Ordem de Prioridade" e "Origem do Recurso"</t>
  </si>
  <si>
    <t>VIAGENS e DESLOCAMENTOS</t>
  </si>
  <si>
    <r>
      <rPr>
        <u/>
        <sz val="11"/>
        <color theme="1"/>
        <rFont val="Calibri"/>
        <family val="2"/>
        <scheme val="minor"/>
      </rPr>
      <t>Ordem de Prioridade: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COLUNA "M"</t>
    </r>
  </si>
  <si>
    <r>
      <rPr>
        <u/>
        <sz val="11"/>
        <color theme="1"/>
        <rFont val="Calibri"/>
        <family val="2"/>
        <scheme val="minor"/>
      </rPr>
      <t>Ordem de Prioridade: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COLUNA "L"</t>
    </r>
  </si>
  <si>
    <r>
      <rPr>
        <u/>
        <sz val="11"/>
        <color theme="1"/>
        <rFont val="Calibri"/>
        <family val="2"/>
        <scheme val="minor"/>
      </rPr>
      <t>Origem do Recurso: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COLUNA "CR"</t>
    </r>
  </si>
  <si>
    <r>
      <rPr>
        <u/>
        <sz val="11"/>
        <color theme="1"/>
        <rFont val="Calibri"/>
        <family val="2"/>
        <scheme val="minor"/>
      </rPr>
      <t>Origem do Recurso: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rgb="FFFF0000"/>
        <rFont val="Calibri"/>
        <family val="2"/>
        <scheme val="minor"/>
      </rPr>
      <t>COLUNA "BD"</t>
    </r>
  </si>
  <si>
    <r>
      <rPr>
        <b/>
        <u/>
        <sz val="11"/>
        <color theme="1"/>
        <rFont val="Calibri"/>
        <family val="2"/>
        <scheme val="minor"/>
      </rPr>
      <t>Ordem de Prioridade: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Preencher P01 para todos os Planos de Ação que ficarem dentro (coberto) pelo Valor do Orçamento liberado em 2024 e, para os demais (que ultrapassem o valor o Orçamento), sequenciar como P02 até Pn)</t>
    </r>
  </si>
  <si>
    <r>
      <rPr>
        <b/>
        <u/>
        <sz val="11"/>
        <color theme="1"/>
        <rFont val="Calibri"/>
        <family val="2"/>
        <scheme val="minor"/>
      </rPr>
      <t>Origem do Recurso:</t>
    </r>
    <r>
      <rPr>
        <sz val="11"/>
        <color theme="1"/>
        <rFont val="Calibri"/>
        <family val="2"/>
        <scheme val="minor"/>
      </rPr>
      <t xml:space="preserve"> Para Planos de Ação com Prioridade P01 (dentro do Orçamento do Curso/Programa), informar: Recurso do Curso/Programa; para os Planos de Ação que extrapolem o Orçamento do Curso/Programa, informar, por exemplo: se será coberto por Emenda Parlamentar, ou se poderá ser coberto por recursos do PROAP, ou se trata de uma atividade essencial e será solicitado Recurso Complementar etc. </t>
    </r>
  </si>
  <si>
    <r>
      <rPr>
        <b/>
        <sz val="11"/>
        <color rgb="FFFF0000"/>
        <rFont val="Calibri"/>
        <family val="2"/>
        <scheme val="minor"/>
      </rPr>
      <t>IMPORTANTE:</t>
    </r>
    <r>
      <rPr>
        <sz val="11"/>
        <color theme="1"/>
        <rFont val="Calibri"/>
        <family val="2"/>
        <scheme val="minor"/>
      </rPr>
      <t xml:space="preserve"> Em qualquer das situações que extrapolem o Orçamento a ser liberado, é de responsabilidade da Coordenação do Curso/Programa ou seu Colegiado as ações para solicitação desses recursos e, em se tratando de Solicitação de Recursos "Adicionais" do Campus, será avaliado pela Comissão de Orçamento e a disponibilidade de recursos orçamentários excedentes para o atendimento da demanda.</t>
    </r>
  </si>
  <si>
    <t>RESUMO FINANCEIRO DOS PLANOS DE AÇÃO</t>
  </si>
  <si>
    <t>PREENCHIMENTO</t>
  </si>
  <si>
    <t>Inicie pela aba "IDENTIFICAÇÃO"</t>
  </si>
  <si>
    <t xml:space="preserve">      Escolha o nome do Curso/Programa/Setor na Lista</t>
  </si>
  <si>
    <t xml:space="preserve">      Informe o nome do Cordenador ou Chefe de Setor</t>
  </si>
  <si>
    <t xml:space="preserve">      Informe o contato - e-mail ou telefone - para dúvidas que possam surgir na recepção da Planilha</t>
  </si>
  <si>
    <t>ORIGEM DO RECURSO</t>
  </si>
  <si>
    <t>Planos que excedem o Orçamento do Curso/Programa</t>
  </si>
  <si>
    <t>Céluas de informações sobre o Plano de Ação, que devem ser preenchidas para qualquer modalidade de Viagem</t>
  </si>
  <si>
    <t>Para viagens NÃO Rotineiras e/ou Contínuas (únicas). São Viagens de Estudos, Visitas a Empresas, ou seja, viagens normais e principalmente envolvendo alunos</t>
  </si>
  <si>
    <t>Para Viagens Rotineiras e/ou Contínuas, como: Várias saídas de campo aos municípios limítrofes, aulas nos Programas de Pós-graduação, Acompanhamentos de Estágios, TCC etc, que se configurem como várias viagens com obgetivos semelhantes.</t>
  </si>
  <si>
    <t>Nesta Planilha (aba) poderão ser inseridas qualquer tipo de viagem ou deslocamento e para melhor entendimento podemos separá-la em 4 (quatro) partes: uma com informações gerais sobre o Plano de Ação e 3(três) tipos de Viagem.</t>
  </si>
  <si>
    <t>INFORMAÇÕES DO PLANO</t>
  </si>
  <si>
    <t>VIAGEM - Tipo 1</t>
  </si>
  <si>
    <t>VIAGEM - Tipo 2</t>
  </si>
  <si>
    <t>VIAGEM - Tipo 3</t>
  </si>
  <si>
    <t>Viagens do tipo "Visita Técnica", em que o servidor - Docente ou TAEs - realizam para atividades muito específicas, como: troca de experiência sobre procedimentos da Secretaria Acadêmica; Gestão do RU; Participação de reunião de um Fórum/GT etc.</t>
  </si>
  <si>
    <t>EXEMPLO:</t>
  </si>
  <si>
    <t>Aulas ministradas por professores de outros campi - o número de eventos é a quantidade de vezes que este professor virá a Chapecó para ministrar determinada disciplina e, as demais informações devem ser prestadas pela média de uso por evento - Quantos quilometros por evento? Quantas diárias para cada deslocamento? etc..</t>
  </si>
  <si>
    <t>Viagem de Servidores para aprimoramento ou troca de conhecimentos. Pode envolver diárias, passagens ou transporte institucional ou terceirizado.</t>
  </si>
  <si>
    <t>Não houve alterações significativas além da inclusão das colunas "Ordem de Prioridade" e "Origem do Recurso".</t>
  </si>
  <si>
    <t>Nesta aba deverão ser listados todos os Planos de Ação envolvendo Eventos, como: Semana Acadêmica; Aula Inaugural; Colóquios; Seminários; Palestras etc. Esses Eventos geralmente encolvem convidados e consumo de despesas com Diárias, Passagens e/ou Transportes.</t>
  </si>
  <si>
    <t>Esta aba é destinada a coleta de necessidades de Materiais de Consumo de Laboratórios, Áreas Experimentais, Materiais de Expediente etc. e Pequenos Reparos e Manutenções.</t>
  </si>
  <si>
    <t>Neste sentido, sua utilização é direcionada as Assessorias Administrativa e Setores responsáveis pelo atendimento destas demandas, como: ASSINFR, ASSLOG, AGAS, CLAB, CAAEX etc.</t>
  </si>
  <si>
    <t>INSTRUÇÕES DE PREENCHIMENTO DA PLANILHA</t>
  </si>
  <si>
    <t>PLANOS DE AÇÃO 2025</t>
  </si>
  <si>
    <t>IDENTIFICAÇÃO DA UNIDADE</t>
  </si>
  <si>
    <t>1) Ao ser selecionado o Curso/Programa será carregado ao lado um Histórico de Utilização de Recursos, de 2017 a 2023, excluídos os exercícios com o evento da Pandemia da COVID-19 (2020 e 2021)</t>
  </si>
  <si>
    <t>2) Abaixo da tabela Histórico de Utilização de Recursos será apresentado o total de recursos (Diárias, Passagens e Transportes) liberado para execução em 2024.</t>
  </si>
  <si>
    <t>3) Ao finalizar o Planejamento das Ações para 2025 (preenchimento das Planilhas: "VIAGENS e DESLOCAMENTOS" e "EVENTOS", será apresentado um Resumo Financeiro do Planejamento do Curso/Programa e a diferença da "Demanda" de recursos e a "Liberação" prevista.</t>
  </si>
  <si>
    <t>4) Se a Demanda for maior que a Previsão de Recursos (diferença negativa), preencher as Colunas "Ordem de Prioridade" e "Origem do Recurso", das Planilhas "VIAGENS e DESLOCAMENTOS" e "EVENTOS".</t>
  </si>
  <si>
    <t>Além das informações gerais sobre o Plano de Ação, tabém deve ser preenchida a Coluna "Ordem de Prioridade" e "Origem do Recurso" sempre que o total dos Planos de Ação do Curso/Programa ultrapassar o valor do seu Orçamento Previsto. Mais informações na aba "IDENTIFICAÇÃO"</t>
  </si>
  <si>
    <t>Assessoria de Planejamento - Campus Chapecó - ASSPLAN-CH</t>
  </si>
  <si>
    <t>Viagens de Estudos a São Miguel das Missões - RS (Ruínas de São Miguel, Museu ...); Viagenm de Estudos para São Paulo - Visita a Montadora X</t>
  </si>
  <si>
    <t>VIAGENS ACADÊMICOS &amp; TECNICOS - Viagens de Estudos / Visitas Técnicas / Trabalhos de Campo / Viagens à Congressos_Seminários; Aulas ministradas por professores externos; Estágios, TCCs; etc.</t>
  </si>
  <si>
    <t>IMPORTANTE:</t>
  </si>
  <si>
    <r>
      <t xml:space="preserve">1) Informar a data no formato </t>
    </r>
    <r>
      <rPr>
        <b/>
        <sz val="11"/>
        <color rgb="FFFF0000"/>
        <rFont val="Calibri"/>
        <family val="2"/>
        <scheme val="minor"/>
      </rPr>
      <t>dd/mm/aaaa</t>
    </r>
    <r>
      <rPr>
        <sz val="11"/>
        <color theme="1"/>
        <rFont val="Calibri"/>
        <family val="2"/>
        <scheme val="minor"/>
      </rPr>
      <t xml:space="preserve"> e a hora no formato </t>
    </r>
    <r>
      <rPr>
        <b/>
        <sz val="11"/>
        <color rgb="FFFF0000"/>
        <rFont val="Calibri"/>
        <family val="2"/>
        <scheme val="minor"/>
      </rPr>
      <t>hh/mm</t>
    </r>
  </si>
  <si>
    <t xml:space="preserve">                        Devemos informar datas que reflitam o intervalo de tempo em que irá acontecer a viagem - Início da Viagem: 10/08/2025 - 22:00 horas; Final da Viagem: 11/08/2025 - 23:30</t>
  </si>
  <si>
    <r>
      <t xml:space="preserve">      </t>
    </r>
    <r>
      <rPr>
        <b/>
        <sz val="10"/>
        <color theme="1"/>
        <rFont val="Calibri"/>
        <family val="2"/>
        <scheme val="minor"/>
      </rPr>
      <t>EXEMPLO:</t>
    </r>
    <r>
      <rPr>
        <sz val="10"/>
        <color theme="1"/>
        <rFont val="Calibri"/>
        <family val="2"/>
        <scheme val="minor"/>
      </rPr>
      <t xml:space="preserve"> Viagem a São Paulo, que deve acontecer na primeira quinzena de agosto/2025, com saída prevista para as 22:00h e retorno no dia seguintes, com previsão de chegada a CCO as 23:30h.</t>
    </r>
  </si>
  <si>
    <r>
      <t xml:space="preserve">2) </t>
    </r>
    <r>
      <rPr>
        <b/>
        <sz val="11"/>
        <color rgb="FFFF0000"/>
        <rFont val="Calibri"/>
        <family val="2"/>
        <scheme val="minor"/>
      </rPr>
      <t>Início da Viagem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rgb="FFFF0000"/>
        <rFont val="Calibri"/>
        <family val="2"/>
        <scheme val="minor"/>
      </rPr>
      <t>Final da Viagem</t>
    </r>
    <r>
      <rPr>
        <sz val="11"/>
        <color theme="1"/>
        <rFont val="Calibri"/>
        <family val="2"/>
        <scheme val="minor"/>
      </rPr>
      <t>: não tendo ainda uma data definida, informar uma data provável e que represente o intervalo de tempo da viagem.</t>
    </r>
  </si>
  <si>
    <r>
      <t xml:space="preserve">3) </t>
    </r>
    <r>
      <rPr>
        <b/>
        <sz val="11"/>
        <color rgb="FFFF0000"/>
        <rFont val="Calibri"/>
        <family val="2"/>
        <scheme val="minor"/>
      </rPr>
      <t>Diárias (q)</t>
    </r>
    <r>
      <rPr>
        <sz val="11"/>
        <color theme="1"/>
        <rFont val="Calibri"/>
        <family val="2"/>
        <scheme val="minor"/>
      </rPr>
      <t xml:space="preserve"> e </t>
    </r>
    <r>
      <rPr>
        <b/>
        <sz val="11"/>
        <color rgb="FFFF0000"/>
        <rFont val="Calibri"/>
        <family val="2"/>
        <scheme val="minor"/>
      </rPr>
      <t>Km (ida/Volta)</t>
    </r>
    <r>
      <rPr>
        <sz val="11"/>
        <color theme="1"/>
        <rFont val="Calibri"/>
        <family val="2"/>
        <scheme val="minor"/>
      </rPr>
      <t xml:space="preserve"> e outras informações de quantidade/valor, não inserir complementos como </t>
    </r>
    <r>
      <rPr>
        <b/>
        <sz val="11"/>
        <color theme="1"/>
        <rFont val="Calibri"/>
        <family val="2"/>
        <scheme val="minor"/>
      </rPr>
      <t>1,5</t>
    </r>
    <r>
      <rPr>
        <sz val="11"/>
        <color theme="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diárias</t>
    </r>
    <r>
      <rPr>
        <sz val="11"/>
        <color theme="1"/>
        <rFont val="Calibri"/>
        <family val="2"/>
        <scheme val="minor"/>
      </rPr>
      <t xml:space="preserve"> OU </t>
    </r>
    <r>
      <rPr>
        <b/>
        <sz val="11"/>
        <color theme="1"/>
        <rFont val="Calibri"/>
        <family val="2"/>
        <scheme val="minor"/>
      </rPr>
      <t>1.250</t>
    </r>
    <r>
      <rPr>
        <sz val="11"/>
        <color theme="1"/>
        <rFont val="Calibri"/>
        <family val="2"/>
        <scheme val="minor"/>
      </rPr>
      <t xml:space="preserve"> </t>
    </r>
    <r>
      <rPr>
        <strike/>
        <sz val="11"/>
        <color rgb="FFFF0000"/>
        <rFont val="Calibri"/>
        <family val="2"/>
        <scheme val="minor"/>
      </rPr>
      <t>km</t>
    </r>
    <r>
      <rPr>
        <sz val="11"/>
        <color theme="1"/>
        <rFont val="Calibri"/>
        <family val="2"/>
        <scheme val="minor"/>
      </rPr>
      <t xml:space="preserve"> (Informar somente valores).</t>
    </r>
  </si>
  <si>
    <t>EXEMPLO 1:</t>
  </si>
  <si>
    <r>
      <rPr>
        <sz val="10"/>
        <color theme="1"/>
        <rFont val="Calibri"/>
        <family val="2"/>
        <scheme val="minor"/>
      </rPr>
      <t xml:space="preserve">O Curso realize vários deslocamentos para atividades práticas a campo, nos municípios limítrofes - Pinhalzinho, Maravilha, Caxambú do Sul, São Carlos, Coronel Freitas etc ... </t>
    </r>
    <r>
      <rPr>
        <b/>
        <sz val="10"/>
        <color theme="1"/>
        <rFont val="Calibri"/>
        <family val="2"/>
        <scheme val="minor"/>
      </rPr>
      <t>ENTÃO:</t>
    </r>
    <r>
      <rPr>
        <sz val="10"/>
        <color theme="1"/>
        <rFont val="Calibri"/>
        <family val="2"/>
        <scheme val="minor"/>
      </rPr>
      <t xml:space="preserve"> suponha que serão realizados quinze deslocamentos ao longo do ano; que a soma dos percursos (ida/volta) seja de aproximadamente 600 km; que seja necessária uma VAN (10 passageiros); que a média de permanência do veículo para a atividade seja de 4 horas por deslocamento. </t>
    </r>
    <r>
      <rPr>
        <b/>
        <sz val="10"/>
        <color theme="1"/>
        <rFont val="Calibri"/>
        <family val="2"/>
        <scheme val="minor"/>
      </rPr>
      <t>Nesse caso:</t>
    </r>
    <r>
      <rPr>
        <sz val="10"/>
        <color theme="1"/>
        <rFont val="Calibri"/>
        <family val="2"/>
        <scheme val="minor"/>
      </rPr>
      <t xml:space="preserve"> Quantidade de Eventos = 15; Média de Km por Evento = 40 km; Média de Diárias por Evento = 0 (viagens para municípios da Microregião não tem direito a diárias); Meio de Transporte: VAN; Média de Horas de Disponibilidade: 4 horas; Número de Passageiros: 10; Período de Execução – Início: Março / Fim: Setembro (nesse caso o período de execução deverá ser informado em meses). </t>
    </r>
  </si>
  <si>
    <t>EXEMPLO 2:</t>
  </si>
  <si>
    <r>
      <t xml:space="preserve">Professor virá ministrar aulas em um Programa de Mestrado: 18 encontros no ano; inicia a viagem de 210 km (ida e volta) as 06:00 horas e retorna a sede (hora de chegada) as 23:00 horas do mesmo dia em veículo terceirizado. </t>
    </r>
    <r>
      <rPr>
        <b/>
        <sz val="10"/>
        <color theme="1"/>
        <rFont val="Calibri"/>
        <family val="2"/>
        <scheme val="minor"/>
      </rPr>
      <t>ENTÃO:</t>
    </r>
    <r>
      <rPr>
        <sz val="10"/>
        <color theme="1"/>
        <rFont val="Calibri"/>
        <family val="2"/>
        <scheme val="minor"/>
      </rPr>
      <t xml:space="preserve"> Quantidade de Eventos = 18; Média de Km por Evento = 210 km; Média de Diárias por Evento = 0,5 diárias; Meio de Transporte: Carro 1.0; Horas de Disponibilidade: 17 horas; Passageiros: 1; Período de Execução – </t>
    </r>
    <r>
      <rPr>
        <b/>
        <sz val="10"/>
        <color theme="1"/>
        <rFont val="Calibri"/>
        <family val="2"/>
        <scheme val="minor"/>
      </rPr>
      <t>Início:</t>
    </r>
    <r>
      <rPr>
        <sz val="10"/>
        <color theme="1"/>
        <rFont val="Calibri"/>
        <family val="2"/>
        <scheme val="minor"/>
      </rPr>
      <t xml:space="preserve"> Março / </t>
    </r>
    <r>
      <rPr>
        <b/>
        <sz val="10"/>
        <color theme="1"/>
        <rFont val="Calibri"/>
        <family val="2"/>
        <scheme val="minor"/>
      </rPr>
      <t>Fim:</t>
    </r>
    <r>
      <rPr>
        <sz val="10"/>
        <color theme="1"/>
        <rFont val="Calibri"/>
        <family val="2"/>
        <scheme val="minor"/>
      </rPr>
      <t xml:space="preserve"> Novembro.</t>
    </r>
  </si>
  <si>
    <t>IMPORTANTE</t>
  </si>
  <si>
    <t>&gt; Quando informado no Meio de Transporte "Carro/Camionete da UFFS" não será calculado "custo" para o Curso/Programa. Esse custo só acontece quando utilizado veículo terceirizado.</t>
  </si>
  <si>
    <t>a) Visita de servidores do RU a uma cozinha industrial de outro campi ou instituição, para aprimoramento/verificação de novos procedimentos; b) Visita de servidores da SECAC a outras instituições, para troca de experiência de gestão e procedimentos; c) Participação de Servidor (Docente ou TAE) em reunição de GT.</t>
  </si>
  <si>
    <t>Passagens Aéreas e Rodoviárias: Informar o "Valor" previsto/projetado dessa despesa, quando for o caso.</t>
  </si>
  <si>
    <t>&gt; Data de Permanência do Convidado - Início e Final - informar no formato dd/mm/aaaa</t>
  </si>
  <si>
    <r>
      <t xml:space="preserve">&gt; Não inserir complementos como 1,5 </t>
    </r>
    <r>
      <rPr>
        <strike/>
        <sz val="11"/>
        <color rgb="FFFF0000"/>
        <rFont val="Calibri"/>
        <family val="2"/>
        <scheme val="minor"/>
      </rPr>
      <t>diárias</t>
    </r>
    <r>
      <rPr>
        <sz val="11"/>
        <color theme="1"/>
        <rFont val="Calibri"/>
        <family val="2"/>
        <scheme val="minor"/>
      </rPr>
      <t xml:space="preserve"> OU 1.250 </t>
    </r>
    <r>
      <rPr>
        <strike/>
        <sz val="11"/>
        <color rgb="FFFF0000"/>
        <rFont val="Calibri"/>
        <family val="2"/>
        <scheme val="minor"/>
      </rPr>
      <t>km</t>
    </r>
    <r>
      <rPr>
        <sz val="11"/>
        <color theme="1"/>
        <rFont val="Calibri"/>
        <family val="2"/>
        <scheme val="minor"/>
      </rPr>
      <t xml:space="preserve"> etc. (Informar somente valores).</t>
    </r>
  </si>
  <si>
    <t>&gt; Passagens Aéreas e Rodoviárias: Informar o "Valor" previsto/projetado dessa despesa, quando for o caso.</t>
  </si>
  <si>
    <t>FIQUE ATENTO!!!</t>
  </si>
  <si>
    <r>
      <t xml:space="preserve">&gt; Não inserir complementos como 1,5 </t>
    </r>
    <r>
      <rPr>
        <strike/>
        <sz val="11"/>
        <color rgb="FFFF0000"/>
        <rFont val="Calibri"/>
        <family val="2"/>
        <scheme val="minor"/>
      </rPr>
      <t>diárias</t>
    </r>
    <r>
      <rPr>
        <sz val="11"/>
        <color theme="1"/>
        <rFont val="Calibri"/>
        <family val="2"/>
        <scheme val="minor"/>
      </rPr>
      <t xml:space="preserve"> OU  1.250 </t>
    </r>
    <r>
      <rPr>
        <strike/>
        <sz val="11"/>
        <color rgb="FFFF0000"/>
        <rFont val="Calibri"/>
        <family val="2"/>
        <scheme val="minor"/>
      </rPr>
      <t>Km</t>
    </r>
    <r>
      <rPr>
        <sz val="11"/>
        <color theme="1"/>
        <rFont val="Calibri"/>
        <family val="2"/>
        <scheme val="minor"/>
      </rPr>
      <t xml:space="preserve"> etc.</t>
    </r>
  </si>
  <si>
    <t>&gt; Caso o Evento inclua a necessidade de transporte, informe os dados necessários</t>
  </si>
  <si>
    <t>&gt; Preenchida a Coluna "Ordem de Prioridade" e "Origem do Recurso" sempre que o total dos Planos de Ação do Curso/Programa ultrapassar o valor do seu Orçamento Previsto.</t>
  </si>
  <si>
    <t>&gt; Estimar os gastos para cada Plano de Ação informado</t>
  </si>
  <si>
    <t>&gt; Previsão Temporal: informar o período previsto para a realização da necessidade planejada</t>
  </si>
  <si>
    <t>&gt; Setores Envolvidos: informar quais os setores que serão afetados/envolvidos para que a ação seja concretizada - Exemplo: SEO, SELAB, etc.</t>
  </si>
  <si>
    <t>Cultura</t>
  </si>
  <si>
    <t>CUL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</si>
</sst>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_ ;[Red]\-#,##0.00\ "/>
    <numFmt numFmtId="165" formatCode="#,##0.00\ ;[Red]\-#,##0.00\ "/>
    <numFmt numFmtId="166" formatCode="0.0"/>
    <numFmt numFmtId="167" formatCode="\ #,##0.00\ ;\-#,##0.00\ ;\-00\ ;\ @\ "/>
    <numFmt numFmtId="168" formatCode="* #,##0.00\ ;\-* #,##0.00\ ;* \-#\ ;@\ "/>
    <numFmt numFmtId="169" formatCode="0.00_ ;[Red]\-0.00\ "/>
    <numFmt numFmtId="170" formatCode="#,##0.0"/>
  </numFmts>
  <fonts count="5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6"/>
      <color theme="0"/>
      <name val="Calibri"/>
      <family val="2"/>
      <scheme val="minor"/>
    </font>
    <font>
      <sz val="10"/>
      <name val="Calibri"/>
      <family val="2"/>
      <charset val="1"/>
    </font>
    <font>
      <b/>
      <sz val="10"/>
      <color rgb="FFFF0000"/>
      <name val="Calibri"/>
      <family val="2"/>
      <charset val="1"/>
    </font>
    <font>
      <sz val="11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b/>
      <sz val="10"/>
      <name val="Calibri"/>
      <family val="2"/>
      <charset val="1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0"/>
      <name val="Arial"/>
      <family val="2"/>
      <charset val="1"/>
    </font>
    <font>
      <b/>
      <sz val="10"/>
      <color rgb="FFFF0000"/>
      <name val="Arial"/>
      <family val="2"/>
      <charset val="1"/>
    </font>
    <font>
      <sz val="11"/>
      <color rgb="FF000000"/>
      <name val="Calibri"/>
      <family val="2"/>
    </font>
    <font>
      <b/>
      <sz val="14"/>
      <color rgb="FF000000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Arial"/>
      <family val="2"/>
    </font>
    <font>
      <sz val="10"/>
      <name val="Arial"/>
      <family val="2"/>
      <charset val="1"/>
    </font>
    <font>
      <b/>
      <sz val="11"/>
      <color rgb="FFFFFFFF"/>
      <name val="Calibri"/>
      <family val="2"/>
    </font>
    <font>
      <b/>
      <sz val="10"/>
      <color rgb="FF000000"/>
      <name val="Calibri"/>
      <family val="2"/>
    </font>
    <font>
      <sz val="11"/>
      <color rgb="FFFFFFFF"/>
      <name val="Calibri"/>
      <family val="2"/>
    </font>
    <font>
      <b/>
      <sz val="16"/>
      <color rgb="FF000000"/>
      <name val="Calibri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</font>
    <font>
      <sz val="10"/>
      <color rgb="FFFF0000"/>
      <name val="Calibri"/>
      <family val="2"/>
      <charset val="1"/>
    </font>
    <font>
      <sz val="11"/>
      <color rgb="FF000000"/>
      <name val="Calibri"/>
      <scheme val="minor"/>
    </font>
    <font>
      <b/>
      <sz val="11"/>
      <color rgb="FFFF0000"/>
      <name val="Calibri"/>
      <family val="2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color rgb="FF162937"/>
      <name val="Calibri"/>
      <family val="2"/>
      <scheme val="minor"/>
    </font>
    <font>
      <b/>
      <sz val="14"/>
      <color theme="1"/>
      <name val="Calibri"/>
      <family val="2"/>
      <scheme val="minor"/>
    </font>
    <font>
      <strike/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1"/>
      <name val="Calibri"/>
      <family val="2"/>
      <charset val="1"/>
    </font>
    <font>
      <b/>
      <sz val="18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</font>
    <font>
      <sz val="11"/>
      <color rgb="FFFF0000"/>
      <name val="Calibri"/>
      <family val="2"/>
      <charset val="1"/>
    </font>
    <font>
      <sz val="11"/>
      <color rgb="FFC55A11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0"/>
      <color rgb="FF000000"/>
      <name val="Calibri"/>
      <family val="2"/>
      <charset val="1"/>
    </font>
    <font>
      <b/>
      <i/>
      <sz val="11"/>
      <color rgb="FF000000"/>
      <name val="Calibri"/>
      <family val="2"/>
      <charset val="1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rgb="FFBFBFB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rgb="FFFFFFCC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D966"/>
        <bgColor rgb="FFFFE699"/>
      </patternFill>
    </fill>
    <fill>
      <patternFill patternType="solid">
        <fgColor rgb="FFD9E1F2"/>
        <bgColor rgb="FFDDDDDD"/>
      </patternFill>
    </fill>
    <fill>
      <patternFill patternType="solid">
        <fgColor rgb="FFD9D9D9"/>
        <bgColor rgb="FFDDDDDD"/>
      </patternFill>
    </fill>
    <fill>
      <patternFill patternType="solid">
        <fgColor rgb="FFF4B084"/>
        <bgColor rgb="FFF8CBAD"/>
      </patternFill>
    </fill>
    <fill>
      <patternFill patternType="solid">
        <fgColor rgb="FFFFE699"/>
        <bgColor rgb="FFFFD966"/>
      </patternFill>
    </fill>
    <fill>
      <patternFill patternType="solid">
        <fgColor rgb="FFC6E0B4"/>
        <bgColor rgb="FFD9D9D9"/>
      </patternFill>
    </fill>
    <fill>
      <patternFill patternType="solid">
        <fgColor rgb="FFBFBFBF"/>
        <bgColor rgb="FFC9C9C9"/>
      </patternFill>
    </fill>
    <fill>
      <patternFill patternType="solid">
        <fgColor rgb="FFBDD7EE"/>
        <bgColor rgb="FFD9D9D9"/>
      </patternFill>
    </fill>
    <fill>
      <patternFill patternType="solid">
        <fgColor rgb="FFFFFF00"/>
        <bgColor rgb="FFFFD966"/>
      </patternFill>
    </fill>
    <fill>
      <patternFill patternType="solid">
        <fgColor rgb="FF808080"/>
        <bgColor rgb="FFA6A6A6"/>
      </patternFill>
    </fill>
    <fill>
      <patternFill patternType="solid">
        <fgColor rgb="FFBF8F00"/>
        <bgColor rgb="FFED7D31"/>
      </patternFill>
    </fill>
    <fill>
      <patternFill patternType="solid">
        <fgColor rgb="FFEDEDED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A9D08E"/>
        <bgColor rgb="FFC6E0B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rgb="FFB4C7E7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rgb="FFDDDDDD"/>
      </patternFill>
    </fill>
    <fill>
      <patternFill patternType="solid">
        <fgColor theme="5" tint="0.59999389629810485"/>
        <bgColor rgb="FFDDDDDD"/>
      </patternFill>
    </fill>
    <fill>
      <patternFill patternType="solid">
        <fgColor theme="5" tint="0.59999389629810485"/>
        <bgColor rgb="FFFFD966"/>
      </patternFill>
    </fill>
    <fill>
      <patternFill patternType="solid">
        <fgColor theme="8" tint="0.39997558519241921"/>
        <bgColor rgb="FFFFE699"/>
      </patternFill>
    </fill>
    <fill>
      <patternFill patternType="solid">
        <fgColor theme="8" tint="0.59999389629810485"/>
        <bgColor rgb="FFDDDDDD"/>
      </patternFill>
    </fill>
    <fill>
      <patternFill patternType="solid">
        <fgColor theme="0" tint="-0.14999847407452621"/>
        <bgColor rgb="FFDDDDDD"/>
      </patternFill>
    </fill>
    <fill>
      <patternFill patternType="solid">
        <fgColor theme="4" tint="0.59999389629810485"/>
        <bgColor rgb="FFDDDDDD"/>
      </patternFill>
    </fill>
    <fill>
      <patternFill patternType="solid">
        <fgColor theme="0" tint="-0.249977111117893"/>
        <bgColor rgb="FFDDDDDD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rgb="FFFFFF00"/>
      </patternFill>
    </fill>
    <fill>
      <patternFill patternType="solid">
        <fgColor theme="0" tint="-0.249977111117893"/>
        <bgColor rgb="FFFFCCCC"/>
      </patternFill>
    </fill>
    <fill>
      <patternFill patternType="solid">
        <fgColor theme="3" tint="0.59999389629810485"/>
        <bgColor rgb="FFFFE699"/>
      </patternFill>
    </fill>
    <fill>
      <patternFill patternType="solid">
        <fgColor theme="0" tint="-0.14999847407452621"/>
        <bgColor rgb="FFFFD966"/>
      </patternFill>
    </fill>
    <fill>
      <patternFill patternType="solid">
        <fgColor theme="5" tint="0.39997558519241921"/>
        <bgColor rgb="FFFFD966"/>
      </patternFill>
    </fill>
    <fill>
      <patternFill patternType="solid">
        <fgColor theme="0" tint="-0.249977111117893"/>
        <bgColor rgb="FFC9C9C9"/>
      </patternFill>
    </fill>
    <fill>
      <patternFill patternType="solid">
        <fgColor theme="0" tint="-0.499984740745262"/>
        <bgColor rgb="FFA6A6A6"/>
      </patternFill>
    </fill>
    <fill>
      <patternFill patternType="solid">
        <fgColor theme="0" tint="-0.499984740745262"/>
        <bgColor rgb="FFFFD966"/>
      </patternFill>
    </fill>
    <fill>
      <patternFill patternType="solid">
        <fgColor theme="0"/>
        <bgColor indexed="64"/>
      </patternFill>
    </fill>
    <fill>
      <patternFill patternType="solid">
        <fgColor theme="5"/>
        <bgColor rgb="FFFFD966"/>
      </patternFill>
    </fill>
    <fill>
      <patternFill patternType="solid">
        <fgColor theme="9" tint="0.79998168889431442"/>
        <bgColor rgb="FFDDDDDD"/>
      </patternFill>
    </fill>
    <fill>
      <patternFill patternType="solid">
        <fgColor theme="6" tint="0.59999389629810485"/>
        <bgColor rgb="FFDDDDDD"/>
      </patternFill>
    </fill>
    <fill>
      <patternFill patternType="solid">
        <fgColor theme="5" tint="0.79998168889431442"/>
        <bgColor rgb="FFDDDDDD"/>
      </patternFill>
    </fill>
    <fill>
      <patternFill patternType="solid">
        <fgColor theme="4" tint="0.79998168889431442"/>
        <bgColor rgb="FFDDDDDD"/>
      </patternFill>
    </fill>
    <fill>
      <patternFill patternType="solid">
        <fgColor theme="0" tint="-4.9989318521683403E-2"/>
        <bgColor rgb="FFDDDDDD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E699"/>
        <bgColor rgb="FFFFF2CC"/>
      </patternFill>
    </fill>
    <fill>
      <patternFill patternType="solid">
        <fgColor rgb="FFDBDBDB"/>
        <bgColor rgb="FFD9D9D9"/>
      </patternFill>
    </fill>
    <fill>
      <patternFill patternType="solid">
        <fgColor rgb="FFBDD7EE"/>
        <bgColor rgb="FFB4C7E7"/>
      </patternFill>
    </fill>
    <fill>
      <patternFill patternType="solid">
        <fgColor theme="5" tint="0.59999389629810485"/>
        <bgColor rgb="FFFFF2CC"/>
      </patternFill>
    </fill>
    <fill>
      <patternFill patternType="solid">
        <fgColor rgb="FFE2F0D9"/>
        <bgColor rgb="FFEDEDED"/>
      </patternFill>
    </fill>
    <fill>
      <patternFill patternType="solid">
        <fgColor rgb="FFFFFF00"/>
        <bgColor rgb="FFB4C7E7"/>
      </patternFill>
    </fill>
    <fill>
      <patternFill patternType="solid">
        <fgColor theme="8" tint="0.39997558519241921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/>
      <right/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auto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hair">
        <color auto="1"/>
      </bottom>
      <diagonal/>
    </border>
    <border>
      <left/>
      <right/>
      <top style="medium">
        <color rgb="FFFFFFFF"/>
      </top>
      <bottom style="medium">
        <color auto="1"/>
      </bottom>
      <diagonal/>
    </border>
    <border>
      <left style="medium">
        <color rgb="FFFFFFFF"/>
      </left>
      <right style="medium">
        <color rgb="FFFFFFFF"/>
      </right>
      <top/>
      <bottom style="medium">
        <color auto="1"/>
      </bottom>
      <diagonal/>
    </border>
    <border>
      <left/>
      <right/>
      <top/>
      <bottom style="medium">
        <color rgb="FFFFFFFF"/>
      </bottom>
      <diagonal/>
    </border>
    <border>
      <left style="hair">
        <color auto="1"/>
      </left>
      <right style="medium">
        <color rgb="FFFFFFFF"/>
      </right>
      <top style="medium">
        <color auto="1"/>
      </top>
      <bottom style="medium">
        <color rgb="FFFFFFFF"/>
      </bottom>
      <diagonal/>
    </border>
    <border>
      <left style="hair">
        <color auto="1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theme="0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/>
      <top style="thin">
        <color indexed="64"/>
      </top>
      <bottom style="medium">
        <color rgb="FFFFFFFF"/>
      </bottom>
      <diagonal/>
    </border>
    <border>
      <left/>
      <right style="medium">
        <color rgb="FFFFFFFF"/>
      </right>
      <top style="thin">
        <color indexed="64"/>
      </top>
      <bottom style="medium">
        <color rgb="FFFFFFFF"/>
      </bottom>
      <diagonal/>
    </border>
    <border>
      <left/>
      <right style="thin">
        <color theme="0"/>
      </right>
      <top style="thin">
        <color indexed="64"/>
      </top>
      <bottom style="medium">
        <color rgb="FFFFFFFF"/>
      </bottom>
      <diagonal/>
    </border>
    <border>
      <left style="thin">
        <color theme="0"/>
      </left>
      <right style="thin">
        <color theme="0"/>
      </right>
      <top style="thin">
        <color auto="1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auto="1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medium">
        <color theme="0"/>
      </bottom>
      <diagonal/>
    </border>
    <border>
      <left style="medium">
        <color rgb="FFFFFFFF"/>
      </left>
      <right style="thin">
        <color theme="0"/>
      </right>
      <top style="medium">
        <color rgb="FFFFFFFF"/>
      </top>
      <bottom/>
      <diagonal/>
    </border>
    <border>
      <left style="medium">
        <color rgb="FFFFFFFF"/>
      </left>
      <right style="thin">
        <color theme="0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rgb="FFFFFFFF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theme="0"/>
      </bottom>
      <diagonal/>
    </border>
    <border>
      <left style="thin">
        <color auto="1"/>
      </left>
      <right style="thin">
        <color auto="1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/>
      <bottom style="thin">
        <color auto="1"/>
      </bottom>
      <diagonal/>
    </border>
    <border>
      <left/>
      <right style="thin">
        <color theme="0"/>
      </right>
      <top style="thin">
        <color indexed="64"/>
      </top>
      <bottom/>
      <diagonal/>
    </border>
    <border>
      <left style="medium">
        <color rgb="FFFFFFFF"/>
      </left>
      <right/>
      <top style="thin">
        <color indexed="64"/>
      </top>
      <bottom/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rgb="FFFFFFFF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</borders>
  <cellStyleXfs count="9">
    <xf numFmtId="0" fontId="0" fillId="0" borderId="0"/>
    <xf numFmtId="0" fontId="10" fillId="0" borderId="0"/>
    <xf numFmtId="0" fontId="28" fillId="0" borderId="0"/>
    <xf numFmtId="168" fontId="10" fillId="0" borderId="0" applyBorder="0" applyProtection="0"/>
    <xf numFmtId="0" fontId="20" fillId="0" borderId="0"/>
    <xf numFmtId="0" fontId="35" fillId="0" borderId="0"/>
    <xf numFmtId="0" fontId="37" fillId="0" borderId="0" applyNumberFormat="0" applyFill="0" applyBorder="0" applyAlignment="0" applyProtection="0"/>
    <xf numFmtId="0" fontId="21" fillId="0" borderId="0"/>
    <xf numFmtId="0" fontId="21" fillId="0" borderId="0"/>
  </cellStyleXfs>
  <cellXfs count="549">
    <xf numFmtId="0" fontId="0" fillId="0" borderId="0" xfId="0"/>
    <xf numFmtId="10" fontId="5" fillId="4" borderId="3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4" fillId="3" borderId="0" xfId="0" applyFont="1" applyFill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8" fillId="6" borderId="2" xfId="0" applyFont="1" applyFill="1" applyBorder="1" applyAlignment="1" applyProtection="1">
      <alignment horizontal="center" vertical="center"/>
      <protection hidden="1"/>
    </xf>
    <xf numFmtId="0" fontId="8" fillId="6" borderId="2" xfId="0" applyFont="1" applyFill="1" applyBorder="1" applyAlignment="1">
      <alignment horizontal="center" vertical="center"/>
    </xf>
    <xf numFmtId="49" fontId="9" fillId="2" borderId="0" xfId="0" applyNumberFormat="1" applyFont="1" applyFill="1" applyAlignment="1" applyProtection="1">
      <alignment horizontal="center" vertical="center"/>
      <protection hidden="1"/>
    </xf>
    <xf numFmtId="0" fontId="7" fillId="0" borderId="10" xfId="1" applyFont="1" applyBorder="1" applyAlignment="1">
      <alignment vertical="center"/>
    </xf>
    <xf numFmtId="0" fontId="0" fillId="0" borderId="0" xfId="0" applyAlignment="1">
      <alignment horizontal="center" vertical="center"/>
    </xf>
    <xf numFmtId="49" fontId="9" fillId="0" borderId="0" xfId="0" applyNumberFormat="1" applyFont="1" applyAlignment="1" applyProtection="1">
      <alignment horizontal="center" vertical="center"/>
      <protection hidden="1"/>
    </xf>
    <xf numFmtId="0" fontId="0" fillId="0" borderId="2" xfId="0" applyBorder="1" applyAlignment="1">
      <alignment horizontal="center" vertical="center"/>
    </xf>
    <xf numFmtId="49" fontId="9" fillId="0" borderId="2" xfId="0" applyNumberFormat="1" applyFont="1" applyBorder="1" applyAlignment="1" applyProtection="1">
      <alignment horizontal="center" vertical="center"/>
      <protection hidden="1"/>
    </xf>
    <xf numFmtId="0" fontId="9" fillId="0" borderId="0" xfId="0" applyFont="1" applyAlignment="1">
      <alignment horizontal="center" vertical="center"/>
    </xf>
    <xf numFmtId="0" fontId="12" fillId="0" borderId="9" xfId="1" applyFont="1" applyBorder="1" applyAlignment="1">
      <alignment horizontal="center" vertical="center"/>
    </xf>
    <xf numFmtId="0" fontId="13" fillId="0" borderId="0" xfId="0" applyFont="1" applyAlignment="1" applyProtection="1">
      <alignment vertical="center"/>
      <protection hidden="1"/>
    </xf>
    <xf numFmtId="0" fontId="0" fillId="0" borderId="0" xfId="0" applyAlignment="1">
      <alignment vertical="center"/>
    </xf>
    <xf numFmtId="0" fontId="17" fillId="0" borderId="0" xfId="0" applyFont="1"/>
    <xf numFmtId="0" fontId="18" fillId="13" borderId="2" xfId="0" applyFont="1" applyFill="1" applyBorder="1"/>
    <xf numFmtId="4" fontId="0" fillId="0" borderId="0" xfId="0" applyNumberFormat="1"/>
    <xf numFmtId="0" fontId="17" fillId="0" borderId="0" xfId="0" applyFont="1" applyAlignment="1">
      <alignment vertical="center"/>
    </xf>
    <xf numFmtId="0" fontId="18" fillId="13" borderId="2" xfId="0" applyFont="1" applyFill="1" applyBorder="1" applyAlignment="1">
      <alignment vertical="center"/>
    </xf>
    <xf numFmtId="0" fontId="17" fillId="13" borderId="2" xfId="0" applyFont="1" applyFill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7" fillId="25" borderId="0" xfId="0" applyFont="1" applyFill="1" applyAlignment="1">
      <alignment horizontal="center" vertical="center"/>
    </xf>
    <xf numFmtId="4" fontId="17" fillId="15" borderId="0" xfId="0" applyNumberFormat="1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13" borderId="2" xfId="0" applyFont="1" applyFill="1" applyBorder="1"/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0" fillId="29" borderId="0" xfId="0" applyFill="1" applyAlignment="1">
      <alignment vertical="center"/>
    </xf>
    <xf numFmtId="0" fontId="9" fillId="0" borderId="0" xfId="0" applyFont="1" applyAlignment="1">
      <alignment vertical="center"/>
    </xf>
    <xf numFmtId="0" fontId="0" fillId="3" borderId="0" xfId="0" applyFill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4" fillId="0" borderId="2" xfId="0" applyFont="1" applyBorder="1" applyAlignment="1" applyProtection="1">
      <alignment vertical="center"/>
      <protection hidden="1"/>
    </xf>
    <xf numFmtId="0" fontId="7" fillId="9" borderId="2" xfId="0" applyFont="1" applyFill="1" applyBorder="1" applyAlignment="1" applyProtection="1">
      <alignment vertical="center"/>
      <protection hidden="1"/>
    </xf>
    <xf numFmtId="0" fontId="32" fillId="34" borderId="3" xfId="2" applyFont="1" applyFill="1" applyBorder="1" applyAlignment="1">
      <alignment horizontal="center" vertical="center"/>
    </xf>
    <xf numFmtId="0" fontId="4" fillId="3" borderId="2" xfId="0" applyFont="1" applyFill="1" applyBorder="1" applyAlignment="1">
      <alignment vertical="center"/>
    </xf>
    <xf numFmtId="0" fontId="4" fillId="4" borderId="4" xfId="0" applyFont="1" applyFill="1" applyBorder="1" applyAlignment="1">
      <alignment vertical="center"/>
    </xf>
    <xf numFmtId="164" fontId="0" fillId="3" borderId="8" xfId="0" applyNumberFormat="1" applyFill="1" applyBorder="1" applyAlignment="1">
      <alignment vertical="center"/>
    </xf>
    <xf numFmtId="164" fontId="0" fillId="7" borderId="8" xfId="0" applyNumberFormat="1" applyFill="1" applyBorder="1" applyAlignment="1">
      <alignment vertical="center"/>
    </xf>
    <xf numFmtId="164" fontId="0" fillId="8" borderId="8" xfId="0" applyNumberFormat="1" applyFill="1" applyBorder="1" applyAlignment="1">
      <alignment vertical="center"/>
    </xf>
    <xf numFmtId="169" fontId="0" fillId="0" borderId="43" xfId="0" applyNumberFormat="1" applyBorder="1" applyAlignment="1">
      <alignment vertical="center"/>
    </xf>
    <xf numFmtId="0" fontId="0" fillId="7" borderId="0" xfId="0" applyFill="1" applyAlignment="1">
      <alignment vertical="center"/>
    </xf>
    <xf numFmtId="49" fontId="0" fillId="0" borderId="0" xfId="0" applyNumberFormat="1" applyAlignment="1">
      <alignment horizontal="center" vertical="center"/>
    </xf>
    <xf numFmtId="0" fontId="0" fillId="0" borderId="4" xfId="0" applyBorder="1" applyAlignment="1">
      <alignment vertical="center"/>
    </xf>
    <xf numFmtId="49" fontId="9" fillId="0" borderId="0" xfId="0" applyNumberFormat="1" applyFont="1" applyAlignment="1">
      <alignment horizontal="center" vertical="center"/>
    </xf>
    <xf numFmtId="0" fontId="1" fillId="33" borderId="0" xfId="0" applyFont="1" applyFill="1" applyAlignment="1">
      <alignment vertical="center"/>
    </xf>
    <xf numFmtId="0" fontId="9" fillId="0" borderId="4" xfId="0" applyFont="1" applyBorder="1" applyAlignment="1">
      <alignment vertical="center"/>
    </xf>
    <xf numFmtId="49" fontId="9" fillId="0" borderId="2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vertical="center"/>
    </xf>
    <xf numFmtId="0" fontId="0" fillId="32" borderId="37" xfId="0" applyFill="1" applyBorder="1" applyAlignment="1">
      <alignment vertical="center"/>
    </xf>
    <xf numFmtId="0" fontId="0" fillId="4" borderId="2" xfId="0" applyFill="1" applyBorder="1" applyAlignment="1">
      <alignment horizontal="center" vertical="center"/>
    </xf>
    <xf numFmtId="0" fontId="0" fillId="11" borderId="0" xfId="0" applyFill="1" applyAlignment="1">
      <alignment vertical="center"/>
    </xf>
    <xf numFmtId="0" fontId="15" fillId="0" borderId="0" xfId="0" applyFont="1" applyAlignment="1">
      <alignment vertical="center"/>
    </xf>
    <xf numFmtId="0" fontId="9" fillId="32" borderId="2" xfId="0" applyFont="1" applyFill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17" fillId="0" borderId="43" xfId="0" applyFont="1" applyBorder="1" applyAlignment="1">
      <alignment horizontal="center" vertical="center"/>
    </xf>
    <xf numFmtId="0" fontId="17" fillId="0" borderId="43" xfId="0" applyFont="1" applyBorder="1" applyAlignment="1" applyProtection="1">
      <alignment vertical="center"/>
      <protection locked="0"/>
    </xf>
    <xf numFmtId="0" fontId="17" fillId="0" borderId="43" xfId="0" applyFont="1" applyBorder="1" applyAlignment="1" applyProtection="1">
      <alignment horizontal="center" vertical="center"/>
      <protection locked="0"/>
    </xf>
    <xf numFmtId="0" fontId="17" fillId="0" borderId="43" xfId="0" applyFont="1" applyBorder="1" applyAlignment="1" applyProtection="1">
      <alignment vertical="center" wrapText="1"/>
      <protection locked="0"/>
    </xf>
    <xf numFmtId="165" fontId="33" fillId="0" borderId="43" xfId="0" applyNumberFormat="1" applyFont="1" applyBorder="1" applyAlignment="1" applyProtection="1">
      <alignment horizontal="center" vertical="center"/>
      <protection locked="0"/>
    </xf>
    <xf numFmtId="0" fontId="33" fillId="0" borderId="43" xfId="0" applyFont="1" applyBorder="1" applyAlignment="1" applyProtection="1">
      <alignment horizontal="center" vertical="center"/>
      <protection locked="0"/>
    </xf>
    <xf numFmtId="0" fontId="19" fillId="13" borderId="17" xfId="0" applyFont="1" applyFill="1" applyBorder="1" applyAlignment="1">
      <alignment horizontal="center" vertical="center" wrapText="1"/>
    </xf>
    <xf numFmtId="0" fontId="19" fillId="14" borderId="17" xfId="0" applyFont="1" applyFill="1" applyBorder="1" applyAlignment="1">
      <alignment horizontal="center" vertical="center"/>
    </xf>
    <xf numFmtId="4" fontId="23" fillId="21" borderId="14" xfId="1" applyNumberFormat="1" applyFont="1" applyFill="1" applyBorder="1" applyAlignment="1">
      <alignment horizontal="center" vertical="center"/>
    </xf>
    <xf numFmtId="0" fontId="17" fillId="0" borderId="43" xfId="0" applyFont="1" applyBorder="1" applyAlignment="1" applyProtection="1">
      <alignment wrapText="1"/>
      <protection locked="0"/>
    </xf>
    <xf numFmtId="0" fontId="19" fillId="13" borderId="45" xfId="0" applyFont="1" applyFill="1" applyBorder="1" applyAlignment="1">
      <alignment horizontal="center" vertical="center" wrapText="1"/>
    </xf>
    <xf numFmtId="0" fontId="33" fillId="18" borderId="43" xfId="0" applyFont="1" applyFill="1" applyBorder="1" applyAlignment="1">
      <alignment horizontal="center" vertical="center"/>
    </xf>
    <xf numFmtId="10" fontId="33" fillId="18" borderId="43" xfId="0" applyNumberFormat="1" applyFont="1" applyFill="1" applyBorder="1" applyAlignment="1">
      <alignment horizontal="center" vertical="center"/>
    </xf>
    <xf numFmtId="0" fontId="33" fillId="18" borderId="43" xfId="0" applyFont="1" applyFill="1" applyBorder="1" applyAlignment="1">
      <alignment horizontal="left" vertical="center"/>
    </xf>
    <xf numFmtId="0" fontId="33" fillId="0" borderId="43" xfId="0" applyFont="1" applyBorder="1" applyAlignment="1" applyProtection="1">
      <alignment vertical="center" wrapText="1"/>
      <protection locked="0"/>
    </xf>
    <xf numFmtId="0" fontId="33" fillId="0" borderId="43" xfId="0" applyFont="1" applyBorder="1" applyAlignment="1" applyProtection="1">
      <alignment vertical="center"/>
      <protection locked="0"/>
    </xf>
    <xf numFmtId="0" fontId="33" fillId="0" borderId="43" xfId="0" applyFont="1" applyBorder="1" applyAlignment="1" applyProtection="1">
      <alignment horizontal="center" vertical="center" wrapText="1"/>
      <protection locked="0"/>
    </xf>
    <xf numFmtId="0" fontId="33" fillId="24" borderId="43" xfId="0" applyFont="1" applyFill="1" applyBorder="1" applyAlignment="1" applyProtection="1">
      <alignment horizontal="left" vertical="center" wrapText="1"/>
      <protection locked="0"/>
    </xf>
    <xf numFmtId="0" fontId="9" fillId="24" borderId="43" xfId="0" applyFont="1" applyFill="1" applyBorder="1" applyAlignment="1" applyProtection="1">
      <alignment horizontal="left" vertical="center" wrapText="1"/>
      <protection locked="0"/>
    </xf>
    <xf numFmtId="4" fontId="17" fillId="0" borderId="43" xfId="0" applyNumberFormat="1" applyFont="1" applyBorder="1" applyAlignment="1" applyProtection="1">
      <alignment horizontal="center" vertical="center"/>
      <protection locked="0"/>
    </xf>
    <xf numFmtId="164" fontId="0" fillId="0" borderId="0" xfId="0" applyNumberFormat="1" applyAlignment="1">
      <alignment vertical="center"/>
    </xf>
    <xf numFmtId="0" fontId="31" fillId="8" borderId="37" xfId="0" applyFont="1" applyFill="1" applyBorder="1"/>
    <xf numFmtId="4" fontId="38" fillId="0" borderId="0" xfId="0" applyNumberFormat="1" applyFont="1" applyAlignment="1">
      <alignment vertical="center"/>
    </xf>
    <xf numFmtId="4" fontId="38" fillId="0" borderId="52" xfId="0" applyNumberFormat="1" applyFont="1" applyBorder="1" applyAlignment="1">
      <alignment vertical="center"/>
    </xf>
    <xf numFmtId="4" fontId="38" fillId="11" borderId="37" xfId="0" applyNumberFormat="1" applyFont="1" applyFill="1" applyBorder="1" applyAlignment="1">
      <alignment vertical="center"/>
    </xf>
    <xf numFmtId="0" fontId="31" fillId="0" borderId="37" xfId="0" applyFont="1" applyBorder="1" applyAlignment="1">
      <alignment horizontal="center" vertical="center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164" fontId="0" fillId="3" borderId="53" xfId="0" applyNumberFormat="1" applyFill="1" applyBorder="1" applyAlignment="1">
      <alignment vertical="center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>
      <alignment vertical="center"/>
    </xf>
    <xf numFmtId="0" fontId="34" fillId="0" borderId="0" xfId="0" applyFont="1" applyAlignment="1" applyProtection="1">
      <alignment vertical="center"/>
      <protection hidden="1"/>
    </xf>
    <xf numFmtId="0" fontId="34" fillId="0" borderId="0" xfId="0" applyFont="1" applyAlignment="1">
      <alignment vertical="center"/>
    </xf>
    <xf numFmtId="0" fontId="7" fillId="37" borderId="0" xfId="1" applyFont="1" applyFill="1" applyAlignment="1">
      <alignment vertical="center"/>
    </xf>
    <xf numFmtId="0" fontId="7" fillId="37" borderId="0" xfId="1" applyFont="1" applyFill="1" applyAlignment="1">
      <alignment horizontal="center" vertical="center"/>
    </xf>
    <xf numFmtId="0" fontId="0" fillId="37" borderId="0" xfId="0" applyFill="1" applyAlignment="1">
      <alignment vertical="center"/>
    </xf>
    <xf numFmtId="0" fontId="0" fillId="0" borderId="52" xfId="0" applyBorder="1" applyAlignment="1">
      <alignment horizontal="left" vertical="center"/>
    </xf>
    <xf numFmtId="0" fontId="0" fillId="0" borderId="42" xfId="0" applyBorder="1" applyAlignment="1">
      <alignment horizontal="left" vertical="center"/>
    </xf>
    <xf numFmtId="10" fontId="31" fillId="11" borderId="34" xfId="0" applyNumberFormat="1" applyFont="1" applyFill="1" applyBorder="1" applyAlignment="1">
      <alignment horizontal="center" vertical="center"/>
    </xf>
    <xf numFmtId="0" fontId="0" fillId="12" borderId="37" xfId="0" applyFill="1" applyBorder="1" applyAlignment="1">
      <alignment vertical="center"/>
    </xf>
    <xf numFmtId="164" fontId="38" fillId="12" borderId="37" xfId="0" applyNumberFormat="1" applyFont="1" applyFill="1" applyBorder="1" applyAlignment="1">
      <alignment vertical="center"/>
    </xf>
    <xf numFmtId="0" fontId="38" fillId="12" borderId="37" xfId="0" applyFont="1" applyFill="1" applyBorder="1" applyAlignment="1">
      <alignment horizontal="center" vertical="center"/>
    </xf>
    <xf numFmtId="164" fontId="40" fillId="12" borderId="37" xfId="0" applyNumberFormat="1" applyFont="1" applyFill="1" applyBorder="1" applyAlignment="1">
      <alignment horizontal="center" vertical="center"/>
    </xf>
    <xf numFmtId="0" fontId="31" fillId="0" borderId="44" xfId="0" applyFont="1" applyBorder="1" applyAlignment="1">
      <alignment horizontal="center" vertical="center"/>
    </xf>
    <xf numFmtId="0" fontId="0" fillId="31" borderId="0" xfId="0" applyFill="1" applyAlignment="1">
      <alignment vertical="center"/>
    </xf>
    <xf numFmtId="0" fontId="19" fillId="47" borderId="61" xfId="0" applyFont="1" applyFill="1" applyBorder="1" applyAlignment="1">
      <alignment horizontal="center" vertical="center"/>
    </xf>
    <xf numFmtId="0" fontId="2" fillId="0" borderId="0" xfId="0" applyFont="1" applyAlignment="1" applyProtection="1">
      <alignment vertical="center"/>
      <protection hidden="1"/>
    </xf>
    <xf numFmtId="0" fontId="9" fillId="35" borderId="0" xfId="0" applyFont="1" applyFill="1" applyAlignment="1">
      <alignment vertical="center"/>
    </xf>
    <xf numFmtId="49" fontId="9" fillId="35" borderId="0" xfId="0" applyNumberFormat="1" applyFont="1" applyFill="1" applyAlignment="1">
      <alignment horizontal="center" vertical="center"/>
    </xf>
    <xf numFmtId="49" fontId="9" fillId="35" borderId="2" xfId="0" applyNumberFormat="1" applyFont="1" applyFill="1" applyBorder="1" applyAlignment="1">
      <alignment horizontal="center" vertical="center"/>
    </xf>
    <xf numFmtId="0" fontId="9" fillId="0" borderId="0" xfId="0" applyFont="1" applyAlignment="1" applyProtection="1">
      <alignment vertical="center"/>
      <protection hidden="1"/>
    </xf>
    <xf numFmtId="0" fontId="9" fillId="35" borderId="12" xfId="0" applyFont="1" applyFill="1" applyBorder="1" applyAlignment="1">
      <alignment vertical="center"/>
    </xf>
    <xf numFmtId="0" fontId="0" fillId="35" borderId="12" xfId="0" applyFill="1" applyBorder="1" applyAlignment="1">
      <alignment horizontal="center" vertical="center"/>
    </xf>
    <xf numFmtId="0" fontId="9" fillId="35" borderId="0" xfId="0" applyFont="1" applyFill="1" applyAlignment="1">
      <alignment horizontal="center" vertical="center"/>
    </xf>
    <xf numFmtId="0" fontId="0" fillId="35" borderId="0" xfId="0" applyFill="1" applyAlignment="1">
      <alignment horizontal="center" vertical="center"/>
    </xf>
    <xf numFmtId="0" fontId="9" fillId="35" borderId="2" xfId="0" applyFont="1" applyFill="1" applyBorder="1" applyAlignment="1">
      <alignment vertical="center"/>
    </xf>
    <xf numFmtId="0" fontId="0" fillId="35" borderId="2" xfId="0" applyFill="1" applyBorder="1" applyAlignment="1">
      <alignment horizontal="center" vertical="center"/>
    </xf>
    <xf numFmtId="0" fontId="9" fillId="35" borderId="2" xfId="0" applyFont="1" applyFill="1" applyBorder="1" applyAlignment="1">
      <alignment horizontal="center" vertical="center"/>
    </xf>
    <xf numFmtId="0" fontId="19" fillId="40" borderId="17" xfId="0" applyFont="1" applyFill="1" applyBorder="1" applyAlignment="1">
      <alignment vertical="center"/>
    </xf>
    <xf numFmtId="0" fontId="33" fillId="0" borderId="6" xfId="0" applyFont="1" applyBorder="1" applyAlignment="1" applyProtection="1">
      <alignment vertical="center" wrapText="1"/>
      <protection locked="0"/>
    </xf>
    <xf numFmtId="0" fontId="33" fillId="0" borderId="6" xfId="0" applyFont="1" applyBorder="1" applyAlignment="1" applyProtection="1">
      <alignment horizontal="center" vertical="center" wrapText="1"/>
      <protection locked="0"/>
    </xf>
    <xf numFmtId="14" fontId="33" fillId="0" borderId="35" xfId="0" applyNumberFormat="1" applyFont="1" applyBorder="1" applyAlignment="1" applyProtection="1">
      <alignment horizontal="center" vertical="center" wrapText="1"/>
      <protection locked="0"/>
    </xf>
    <xf numFmtId="20" fontId="33" fillId="0" borderId="6" xfId="0" applyNumberFormat="1" applyFont="1" applyBorder="1" applyAlignment="1" applyProtection="1">
      <alignment horizontal="center" vertical="center" wrapText="1"/>
      <protection locked="0"/>
    </xf>
    <xf numFmtId="14" fontId="33" fillId="0" borderId="6" xfId="0" applyNumberFormat="1" applyFont="1" applyBorder="1" applyAlignment="1" applyProtection="1">
      <alignment horizontal="center" vertical="center" wrapText="1"/>
      <protection locked="0"/>
    </xf>
    <xf numFmtId="0" fontId="33" fillId="0" borderId="50" xfId="0" applyFont="1" applyBorder="1" applyAlignment="1" applyProtection="1">
      <alignment horizontal="center" vertical="center" wrapText="1"/>
      <protection locked="0"/>
    </xf>
    <xf numFmtId="165" fontId="33" fillId="0" borderId="6" xfId="0" applyNumberFormat="1" applyFont="1" applyBorder="1" applyAlignment="1" applyProtection="1">
      <alignment horizontal="center" vertical="center" wrapText="1"/>
      <protection locked="0"/>
    </xf>
    <xf numFmtId="0" fontId="7" fillId="0" borderId="10" xfId="1" applyFont="1" applyBorder="1" applyAlignment="1">
      <alignment vertical="center" wrapText="1"/>
    </xf>
    <xf numFmtId="14" fontId="33" fillId="0" borderId="42" xfId="0" applyNumberFormat="1" applyFont="1" applyBorder="1" applyAlignment="1" applyProtection="1">
      <alignment horizontal="center" vertical="center" wrapText="1"/>
      <protection locked="0"/>
    </xf>
    <xf numFmtId="20" fontId="33" fillId="0" borderId="43" xfId="0" applyNumberFormat="1" applyFont="1" applyBorder="1" applyAlignment="1" applyProtection="1">
      <alignment horizontal="center" vertical="center" wrapText="1"/>
      <protection locked="0"/>
    </xf>
    <xf numFmtId="14" fontId="33" fillId="0" borderId="43" xfId="0" applyNumberFormat="1" applyFont="1" applyBorder="1" applyAlignment="1" applyProtection="1">
      <alignment horizontal="center" vertical="center" wrapText="1"/>
      <protection locked="0"/>
    </xf>
    <xf numFmtId="165" fontId="33" fillId="0" borderId="43" xfId="0" applyNumberFormat="1" applyFont="1" applyBorder="1" applyAlignment="1" applyProtection="1">
      <alignment horizontal="center" vertical="center" wrapText="1"/>
      <protection locked="0"/>
    </xf>
    <xf numFmtId="0" fontId="34" fillId="0" borderId="10" xfId="1" applyFont="1" applyBorder="1" applyAlignment="1">
      <alignment vertical="center" wrapText="1"/>
    </xf>
    <xf numFmtId="4" fontId="7" fillId="49" borderId="9" xfId="1" applyNumberFormat="1" applyFont="1" applyFill="1" applyBorder="1" applyAlignment="1">
      <alignment horizontal="center" vertical="center" wrapText="1"/>
    </xf>
    <xf numFmtId="0" fontId="7" fillId="2" borderId="9" xfId="1" applyFont="1" applyFill="1" applyBorder="1" applyAlignment="1">
      <alignment vertical="center" wrapText="1"/>
    </xf>
    <xf numFmtId="0" fontId="7" fillId="2" borderId="9" xfId="1" applyFont="1" applyFill="1" applyBorder="1" applyAlignment="1">
      <alignment horizontal="center" vertical="center" wrapText="1"/>
    </xf>
    <xf numFmtId="0" fontId="11" fillId="2" borderId="9" xfId="1" applyFont="1" applyFill="1" applyBorder="1" applyAlignment="1">
      <alignment horizontal="center" vertical="center" wrapText="1"/>
    </xf>
    <xf numFmtId="2" fontId="17" fillId="26" borderId="13" xfId="0" applyNumberFormat="1" applyFont="1" applyFill="1" applyBorder="1" applyAlignment="1">
      <alignment vertical="center" wrapText="1"/>
    </xf>
    <xf numFmtId="4" fontId="0" fillId="0" borderId="0" xfId="0" applyNumberFormat="1" applyAlignment="1">
      <alignment vertical="center"/>
    </xf>
    <xf numFmtId="166" fontId="33" fillId="0" borderId="43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/>
    <xf numFmtId="0" fontId="17" fillId="14" borderId="43" xfId="0" applyFont="1" applyFill="1" applyBorder="1" applyProtection="1">
      <protection locked="0"/>
    </xf>
    <xf numFmtId="0" fontId="33" fillId="0" borderId="41" xfId="0" applyFont="1" applyBorder="1" applyAlignment="1" applyProtection="1">
      <alignment horizontal="center" vertical="center" wrapText="1"/>
      <protection locked="0"/>
    </xf>
    <xf numFmtId="0" fontId="33" fillId="0" borderId="44" xfId="0" applyFont="1" applyBorder="1" applyAlignment="1" applyProtection="1">
      <alignment horizontal="center" vertical="center" wrapText="1"/>
      <protection locked="0"/>
    </xf>
    <xf numFmtId="0" fontId="33" fillId="0" borderId="35" xfId="0" applyFont="1" applyBorder="1" applyAlignment="1" applyProtection="1">
      <alignment vertical="center" wrapText="1"/>
      <protection locked="0"/>
    </xf>
    <xf numFmtId="0" fontId="33" fillId="0" borderId="43" xfId="0" applyFont="1" applyBorder="1" applyAlignment="1" applyProtection="1">
      <alignment horizontal="left" vertical="center" wrapText="1"/>
      <protection locked="0"/>
    </xf>
    <xf numFmtId="0" fontId="0" fillId="0" borderId="43" xfId="0" applyBorder="1" applyAlignment="1" applyProtection="1">
      <alignment horizontal="left" vertical="center" wrapText="1"/>
      <protection locked="0"/>
    </xf>
    <xf numFmtId="0" fontId="31" fillId="0" borderId="0" xfId="0" applyFont="1"/>
    <xf numFmtId="0" fontId="7" fillId="0" borderId="0" xfId="7" applyFont="1"/>
    <xf numFmtId="0" fontId="46" fillId="0" borderId="2" xfId="7" applyFont="1" applyBorder="1" applyAlignment="1">
      <alignment horizontal="center" vertical="center"/>
    </xf>
    <xf numFmtId="0" fontId="45" fillId="66" borderId="38" xfId="7" applyFont="1" applyFill="1" applyBorder="1" applyAlignment="1">
      <alignment horizontal="center" vertical="center"/>
    </xf>
    <xf numFmtId="9" fontId="12" fillId="0" borderId="38" xfId="7" applyNumberFormat="1" applyFont="1" applyBorder="1" applyAlignment="1">
      <alignment horizontal="center" vertical="center"/>
    </xf>
    <xf numFmtId="0" fontId="45" fillId="67" borderId="38" xfId="7" applyFont="1" applyFill="1" applyBorder="1" applyAlignment="1">
      <alignment horizontal="center" vertical="center"/>
    </xf>
    <xf numFmtId="0" fontId="47" fillId="0" borderId="35" xfId="7" applyFont="1" applyBorder="1" applyAlignment="1">
      <alignment vertical="center"/>
    </xf>
    <xf numFmtId="164" fontId="47" fillId="0" borderId="36" xfId="7" applyNumberFormat="1" applyFont="1" applyBorder="1" applyAlignment="1">
      <alignment vertical="center"/>
    </xf>
    <xf numFmtId="164" fontId="10" fillId="0" borderId="36" xfId="1" applyNumberFormat="1" applyBorder="1" applyAlignment="1">
      <alignment vertical="center"/>
    </xf>
    <xf numFmtId="4" fontId="47" fillId="0" borderId="36" xfId="7" applyNumberFormat="1" applyFont="1" applyBorder="1" applyAlignment="1">
      <alignment vertical="center"/>
    </xf>
    <xf numFmtId="4" fontId="47" fillId="0" borderId="36" xfId="7" applyNumberFormat="1" applyFont="1" applyBorder="1"/>
    <xf numFmtId="0" fontId="47" fillId="0" borderId="42" xfId="7" applyFont="1" applyBorder="1" applyAlignment="1">
      <alignment vertical="center"/>
    </xf>
    <xf numFmtId="0" fontId="47" fillId="0" borderId="46" xfId="7" applyFont="1" applyBorder="1" applyAlignment="1">
      <alignment vertical="center"/>
    </xf>
    <xf numFmtId="0" fontId="48" fillId="0" borderId="46" xfId="7" applyFont="1" applyBorder="1" applyAlignment="1">
      <alignment vertical="center"/>
    </xf>
    <xf numFmtId="164" fontId="47" fillId="30" borderId="36" xfId="7" applyNumberFormat="1" applyFont="1" applyFill="1" applyBorder="1" applyAlignment="1">
      <alignment vertical="center"/>
    </xf>
    <xf numFmtId="0" fontId="47" fillId="0" borderId="5" xfId="7" applyFont="1" applyBorder="1" applyAlignment="1">
      <alignment vertical="center"/>
    </xf>
    <xf numFmtId="0" fontId="49" fillId="0" borderId="42" xfId="7" applyFont="1" applyBorder="1" applyAlignment="1">
      <alignment vertical="center"/>
    </xf>
    <xf numFmtId="168" fontId="0" fillId="0" borderId="36" xfId="3" applyFont="1" applyBorder="1" applyProtection="1"/>
    <xf numFmtId="168" fontId="47" fillId="0" borderId="36" xfId="3" applyFont="1" applyBorder="1" applyProtection="1"/>
    <xf numFmtId="164" fontId="50" fillId="0" borderId="36" xfId="1" applyNumberFormat="1" applyFont="1" applyBorder="1" applyAlignment="1">
      <alignment vertical="center"/>
    </xf>
    <xf numFmtId="164" fontId="0" fillId="0" borderId="36" xfId="7" applyNumberFormat="1" applyFont="1" applyBorder="1" applyAlignment="1">
      <alignment vertical="center"/>
    </xf>
    <xf numFmtId="0" fontId="49" fillId="67" borderId="46" xfId="7" applyFont="1" applyFill="1" applyBorder="1" applyAlignment="1">
      <alignment vertical="center"/>
    </xf>
    <xf numFmtId="164" fontId="0" fillId="67" borderId="36" xfId="7" applyNumberFormat="1" applyFont="1" applyFill="1" applyBorder="1" applyAlignment="1">
      <alignment vertical="center"/>
    </xf>
    <xf numFmtId="164" fontId="47" fillId="67" borderId="36" xfId="7" applyNumberFormat="1" applyFont="1" applyFill="1" applyBorder="1" applyAlignment="1">
      <alignment vertical="center"/>
    </xf>
    <xf numFmtId="164" fontId="50" fillId="67" borderId="36" xfId="1" applyNumberFormat="1" applyFont="1" applyFill="1" applyBorder="1" applyAlignment="1">
      <alignment vertical="center"/>
    </xf>
    <xf numFmtId="164" fontId="10" fillId="67" borderId="36" xfId="1" applyNumberFormat="1" applyFill="1" applyBorder="1" applyAlignment="1">
      <alignment vertical="center"/>
    </xf>
    <xf numFmtId="0" fontId="45" fillId="0" borderId="42" xfId="7" applyFont="1" applyBorder="1" applyAlignment="1">
      <alignment vertical="center"/>
    </xf>
    <xf numFmtId="164" fontId="45" fillId="0" borderId="36" xfId="7" applyNumberFormat="1" applyFont="1" applyBorder="1" applyAlignment="1">
      <alignment vertical="center"/>
    </xf>
    <xf numFmtId="4" fontId="51" fillId="0" borderId="36" xfId="7" applyNumberFormat="1" applyFont="1" applyBorder="1" applyAlignment="1">
      <alignment horizontal="right" vertical="center"/>
    </xf>
    <xf numFmtId="4" fontId="45" fillId="0" borderId="36" xfId="7" applyNumberFormat="1" applyFont="1" applyBorder="1"/>
    <xf numFmtId="0" fontId="52" fillId="65" borderId="42" xfId="7" applyFont="1" applyFill="1" applyBorder="1" applyAlignment="1">
      <alignment vertical="center"/>
    </xf>
    <xf numFmtId="164" fontId="45" fillId="21" borderId="36" xfId="7" applyNumberFormat="1" applyFont="1" applyFill="1" applyBorder="1" applyAlignment="1">
      <alignment vertical="center"/>
    </xf>
    <xf numFmtId="164" fontId="0" fillId="0" borderId="52" xfId="0" applyNumberFormat="1" applyBorder="1"/>
    <xf numFmtId="0" fontId="44" fillId="0" borderId="3" xfId="7" applyFont="1" applyBorder="1"/>
    <xf numFmtId="164" fontId="7" fillId="30" borderId="3" xfId="7" applyNumberFormat="1" applyFont="1" applyFill="1" applyBorder="1"/>
    <xf numFmtId="164" fontId="53" fillId="0" borderId="36" xfId="1" applyNumberFormat="1" applyFont="1" applyBorder="1" applyAlignment="1">
      <alignment horizontal="right"/>
    </xf>
    <xf numFmtId="164" fontId="51" fillId="0" borderId="36" xfId="1" applyNumberFormat="1" applyFont="1" applyBorder="1" applyAlignment="1">
      <alignment horizontal="right"/>
    </xf>
    <xf numFmtId="164" fontId="51" fillId="69" borderId="36" xfId="1" applyNumberFormat="1" applyFont="1" applyFill="1" applyBorder="1" applyAlignment="1">
      <alignment horizontal="right"/>
    </xf>
    <xf numFmtId="164" fontId="53" fillId="69" borderId="36" xfId="1" applyNumberFormat="1" applyFont="1" applyFill="1" applyBorder="1" applyAlignment="1">
      <alignment horizontal="right"/>
    </xf>
    <xf numFmtId="0" fontId="47" fillId="0" borderId="48" xfId="7" applyFont="1" applyBorder="1" applyAlignment="1">
      <alignment vertical="center"/>
    </xf>
    <xf numFmtId="164" fontId="47" fillId="11" borderId="0" xfId="7" applyNumberFormat="1" applyFont="1" applyFill="1" applyAlignment="1">
      <alignment horizontal="right" vertical="center"/>
    </xf>
    <xf numFmtId="0" fontId="47" fillId="0" borderId="52" xfId="7" applyFont="1" applyBorder="1" applyAlignment="1">
      <alignment vertical="center"/>
    </xf>
    <xf numFmtId="164" fontId="47" fillId="3" borderId="0" xfId="7" applyNumberFormat="1" applyFont="1" applyFill="1" applyAlignment="1">
      <alignment horizontal="right" vertical="center"/>
    </xf>
    <xf numFmtId="164" fontId="47" fillId="28" borderId="0" xfId="7" applyNumberFormat="1" applyFont="1" applyFill="1" applyAlignment="1">
      <alignment horizontal="right" vertical="center"/>
    </xf>
    <xf numFmtId="0" fontId="47" fillId="2" borderId="0" xfId="0" applyFont="1" applyFill="1" applyAlignment="1">
      <alignment horizontal="left" vertical="center"/>
    </xf>
    <xf numFmtId="0" fontId="49" fillId="70" borderId="5" xfId="7" applyFont="1" applyFill="1" applyBorder="1" applyAlignment="1">
      <alignment vertical="center"/>
    </xf>
    <xf numFmtId="0" fontId="0" fillId="4" borderId="0" xfId="0" applyFill="1" applyAlignment="1">
      <alignment vertical="center"/>
    </xf>
    <xf numFmtId="0" fontId="31" fillId="0" borderId="0" xfId="0" applyFont="1" applyAlignment="1">
      <alignment horizontal="center" vertical="center"/>
    </xf>
    <xf numFmtId="0" fontId="31" fillId="3" borderId="0" xfId="0" applyFont="1" applyFill="1" applyAlignment="1">
      <alignment horizontal="center" vertical="center"/>
    </xf>
    <xf numFmtId="4" fontId="47" fillId="0" borderId="0" xfId="7" applyNumberFormat="1" applyFont="1" applyAlignment="1">
      <alignment horizontal="right"/>
    </xf>
    <xf numFmtId="4" fontId="47" fillId="11" borderId="0" xfId="7" applyNumberFormat="1" applyFont="1" applyFill="1" applyAlignment="1">
      <alignment horizontal="right"/>
    </xf>
    <xf numFmtId="0" fontId="0" fillId="0" borderId="3" xfId="0" applyBorder="1"/>
    <xf numFmtId="0" fontId="0" fillId="71" borderId="3" xfId="0" applyFill="1" applyBorder="1"/>
    <xf numFmtId="0" fontId="40" fillId="11" borderId="3" xfId="0" applyFont="1" applyFill="1" applyBorder="1"/>
    <xf numFmtId="0" fontId="40" fillId="0" borderId="3" xfId="0" applyFont="1" applyBorder="1"/>
    <xf numFmtId="0" fontId="33" fillId="36" borderId="11" xfId="0" applyFont="1" applyFill="1" applyBorder="1" applyAlignment="1" applyProtection="1">
      <alignment horizontal="center" vertical="center" wrapText="1"/>
      <protection locked="0"/>
    </xf>
    <xf numFmtId="0" fontId="33" fillId="36" borderId="43" xfId="0" applyFont="1" applyFill="1" applyBorder="1" applyAlignment="1" applyProtection="1">
      <alignment horizontal="center" vertical="center" wrapText="1"/>
      <protection locked="0"/>
    </xf>
    <xf numFmtId="0" fontId="33" fillId="0" borderId="6" xfId="0" applyFont="1" applyBorder="1" applyAlignment="1" applyProtection="1">
      <alignment vertical="center"/>
      <protection locked="0"/>
    </xf>
    <xf numFmtId="0" fontId="33" fillId="0" borderId="6" xfId="0" applyFont="1" applyBorder="1" applyAlignment="1" applyProtection="1">
      <alignment horizontal="center" vertical="center"/>
      <protection locked="0"/>
    </xf>
    <xf numFmtId="166" fontId="33" fillId="0" borderId="6" xfId="0" applyNumberFormat="1" applyFont="1" applyBorder="1" applyAlignment="1" applyProtection="1">
      <alignment horizontal="center" vertical="center"/>
      <protection locked="0"/>
    </xf>
    <xf numFmtId="165" fontId="33" fillId="0" borderId="6" xfId="0" applyNumberFormat="1" applyFont="1" applyBorder="1" applyAlignment="1" applyProtection="1">
      <alignment horizontal="center" vertical="center"/>
      <protection locked="0"/>
    </xf>
    <xf numFmtId="0" fontId="33" fillId="24" borderId="6" xfId="0" applyFont="1" applyFill="1" applyBorder="1" applyAlignment="1" applyProtection="1">
      <alignment horizontal="left" vertical="center" wrapText="1"/>
      <protection locked="0"/>
    </xf>
    <xf numFmtId="0" fontId="17" fillId="36" borderId="43" xfId="0" applyFont="1" applyFill="1" applyBorder="1" applyAlignment="1" applyProtection="1">
      <alignment horizontal="center" vertical="center" wrapText="1"/>
      <protection locked="0"/>
    </xf>
    <xf numFmtId="0" fontId="17" fillId="36" borderId="43" xfId="0" applyFont="1" applyFill="1" applyBorder="1" applyAlignment="1" applyProtection="1">
      <alignment horizontal="center" wrapText="1"/>
      <protection locked="0"/>
    </xf>
    <xf numFmtId="0" fontId="0" fillId="10" borderId="3" xfId="0" applyFill="1" applyBorder="1"/>
    <xf numFmtId="0" fontId="0" fillId="39" borderId="3" xfId="0" applyFill="1" applyBorder="1"/>
    <xf numFmtId="0" fontId="0" fillId="30" borderId="3" xfId="0" applyFill="1" applyBorder="1"/>
    <xf numFmtId="0" fontId="31" fillId="30" borderId="3" xfId="0" applyFont="1" applyFill="1" applyBorder="1"/>
    <xf numFmtId="0" fontId="31" fillId="39" borderId="3" xfId="0" applyFont="1" applyFill="1" applyBorder="1"/>
    <xf numFmtId="0" fontId="31" fillId="10" borderId="3" xfId="0" applyFont="1" applyFill="1" applyBorder="1"/>
    <xf numFmtId="0" fontId="31" fillId="71" borderId="3" xfId="0" applyFont="1" applyFill="1" applyBorder="1"/>
    <xf numFmtId="0" fontId="19" fillId="32" borderId="3" xfId="0" applyFont="1" applyFill="1" applyBorder="1"/>
    <xf numFmtId="0" fontId="19" fillId="12" borderId="3" xfId="0" applyFont="1" applyFill="1" applyBorder="1"/>
    <xf numFmtId="0" fontId="17" fillId="12" borderId="3" xfId="0" applyFont="1" applyFill="1" applyBorder="1"/>
    <xf numFmtId="0" fontId="29" fillId="3" borderId="0" xfId="2" applyFont="1" applyFill="1" applyAlignment="1">
      <alignment horizontal="center"/>
    </xf>
    <xf numFmtId="164" fontId="17" fillId="0" borderId="49" xfId="0" applyNumberFormat="1" applyFont="1" applyBorder="1" applyAlignment="1">
      <alignment horizontal="center" vertical="center"/>
    </xf>
    <xf numFmtId="10" fontId="19" fillId="0" borderId="84" xfId="0" applyNumberFormat="1" applyFont="1" applyBorder="1" applyAlignment="1">
      <alignment horizontal="center" vertical="center"/>
    </xf>
    <xf numFmtId="164" fontId="0" fillId="0" borderId="49" xfId="0" applyNumberFormat="1" applyBorder="1" applyAlignment="1">
      <alignment horizontal="center"/>
    </xf>
    <xf numFmtId="164" fontId="17" fillId="0" borderId="52" xfId="0" applyNumberFormat="1" applyFont="1" applyBorder="1" applyAlignment="1">
      <alignment horizontal="center" vertical="center"/>
    </xf>
    <xf numFmtId="10" fontId="19" fillId="0" borderId="85" xfId="0" applyNumberFormat="1" applyFont="1" applyBorder="1" applyAlignment="1">
      <alignment horizontal="center" vertical="center"/>
    </xf>
    <xf numFmtId="164" fontId="0" fillId="0" borderId="52" xfId="0" applyNumberFormat="1" applyBorder="1" applyAlignment="1">
      <alignment horizontal="center"/>
    </xf>
    <xf numFmtId="1" fontId="29" fillId="3" borderId="0" xfId="2" applyNumberFormat="1" applyFont="1" applyFill="1" applyAlignment="1">
      <alignment horizontal="center"/>
    </xf>
    <xf numFmtId="1" fontId="29" fillId="3" borderId="2" xfId="2" applyNumberFormat="1" applyFont="1" applyFill="1" applyBorder="1" applyAlignment="1">
      <alignment horizontal="center"/>
    </xf>
    <xf numFmtId="164" fontId="17" fillId="0" borderId="3" xfId="0" applyNumberFormat="1" applyFont="1" applyBorder="1" applyAlignment="1">
      <alignment horizontal="center" vertical="center"/>
    </xf>
    <xf numFmtId="10" fontId="19" fillId="0" borderId="86" xfId="0" applyNumberFormat="1" applyFont="1" applyBorder="1" applyAlignment="1">
      <alignment horizontal="center" vertical="center"/>
    </xf>
    <xf numFmtId="164" fontId="0" fillId="0" borderId="3" xfId="0" applyNumberFormat="1" applyBorder="1" applyAlignment="1">
      <alignment horizontal="center"/>
    </xf>
    <xf numFmtId="164" fontId="0" fillId="0" borderId="30" xfId="0" applyNumberFormat="1" applyBorder="1" applyAlignment="1">
      <alignment horizontal="center"/>
    </xf>
    <xf numFmtId="1" fontId="29" fillId="3" borderId="3" xfId="2" applyNumberFormat="1" applyFont="1" applyFill="1" applyBorder="1" applyAlignment="1">
      <alignment horizontal="center"/>
    </xf>
    <xf numFmtId="4" fontId="0" fillId="3" borderId="0" xfId="0" applyNumberFormat="1" applyFill="1"/>
    <xf numFmtId="164" fontId="31" fillId="0" borderId="3" xfId="0" applyNumberFormat="1" applyFont="1" applyBorder="1"/>
    <xf numFmtId="0" fontId="31" fillId="11" borderId="3" xfId="0" applyFont="1" applyFill="1" applyBorder="1"/>
    <xf numFmtId="0" fontId="0" fillId="11" borderId="3" xfId="0" applyFill="1" applyBorder="1"/>
    <xf numFmtId="0" fontId="14" fillId="3" borderId="68" xfId="0" applyFont="1" applyFill="1" applyBorder="1" applyAlignment="1">
      <alignment horizontal="center" vertical="center"/>
    </xf>
    <xf numFmtId="4" fontId="0" fillId="0" borderId="25" xfId="0" applyNumberFormat="1" applyBorder="1"/>
    <xf numFmtId="4" fontId="0" fillId="64" borderId="25" xfId="0" applyNumberFormat="1" applyFill="1" applyBorder="1"/>
    <xf numFmtId="4" fontId="31" fillId="29" borderId="25" xfId="0" applyNumberFormat="1" applyFont="1" applyFill="1" applyBorder="1"/>
    <xf numFmtId="4" fontId="0" fillId="64" borderId="26" xfId="0" applyNumberFormat="1" applyFill="1" applyBorder="1"/>
    <xf numFmtId="4" fontId="0" fillId="0" borderId="26" xfId="0" applyNumberFormat="1" applyBorder="1"/>
    <xf numFmtId="4" fontId="31" fillId="29" borderId="26" xfId="0" applyNumberFormat="1" applyFont="1" applyFill="1" applyBorder="1"/>
    <xf numFmtId="0" fontId="31" fillId="0" borderId="80" xfId="0" applyFont="1" applyBorder="1"/>
    <xf numFmtId="4" fontId="31" fillId="0" borderId="68" xfId="0" applyNumberFormat="1" applyFont="1" applyBorder="1"/>
    <xf numFmtId="4" fontId="31" fillId="3" borderId="68" xfId="0" applyNumberFormat="1" applyFont="1" applyFill="1" applyBorder="1"/>
    <xf numFmtId="0" fontId="17" fillId="51" borderId="2" xfId="0" applyFont="1" applyFill="1" applyBorder="1" applyAlignment="1">
      <alignment horizontal="center" vertical="center"/>
    </xf>
    <xf numFmtId="2" fontId="0" fillId="0" borderId="0" xfId="0" applyNumberFormat="1" applyAlignment="1">
      <alignment vertical="center"/>
    </xf>
    <xf numFmtId="0" fontId="0" fillId="0" borderId="5" xfId="0" applyBorder="1" applyAlignment="1">
      <alignment vertical="center"/>
    </xf>
    <xf numFmtId="0" fontId="19" fillId="35" borderId="14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vertical="center"/>
    </xf>
    <xf numFmtId="0" fontId="19" fillId="35" borderId="64" xfId="0" applyFont="1" applyFill="1" applyBorder="1" applyAlignment="1">
      <alignment horizontal="center" vertical="center"/>
    </xf>
    <xf numFmtId="4" fontId="19" fillId="0" borderId="0" xfId="0" applyNumberFormat="1" applyFont="1" applyAlignment="1">
      <alignment horizontal="center" vertical="center"/>
    </xf>
    <xf numFmtId="0" fontId="33" fillId="54" borderId="70" xfId="0" applyFont="1" applyFill="1" applyBorder="1" applyAlignment="1">
      <alignment horizontal="left" vertical="center" wrapText="1"/>
    </xf>
    <xf numFmtId="0" fontId="33" fillId="18" borderId="6" xfId="0" applyFont="1" applyFill="1" applyBorder="1" applyAlignment="1">
      <alignment horizontal="center" vertical="center" wrapText="1"/>
    </xf>
    <xf numFmtId="10" fontId="33" fillId="18" borderId="6" xfId="0" applyNumberFormat="1" applyFont="1" applyFill="1" applyBorder="1" applyAlignment="1">
      <alignment horizontal="center" vertical="center" wrapText="1"/>
    </xf>
    <xf numFmtId="0" fontId="33" fillId="18" borderId="6" xfId="0" applyFont="1" applyFill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0" fillId="48" borderId="25" xfId="0" applyFill="1" applyBorder="1" applyAlignment="1">
      <alignment horizontal="center" vertical="center" wrapText="1"/>
    </xf>
    <xf numFmtId="0" fontId="0" fillId="0" borderId="25" xfId="0" applyBorder="1" applyAlignment="1">
      <alignment vertical="center" wrapText="1"/>
    </xf>
    <xf numFmtId="0" fontId="17" fillId="59" borderId="25" xfId="0" applyFont="1" applyFill="1" applyBorder="1" applyAlignment="1">
      <alignment horizontal="center" vertical="center" wrapText="1"/>
    </xf>
    <xf numFmtId="167" fontId="17" fillId="59" borderId="25" xfId="0" applyNumberFormat="1" applyFont="1" applyFill="1" applyBorder="1" applyAlignment="1">
      <alignment horizontal="center" vertical="center" wrapText="1"/>
    </xf>
    <xf numFmtId="0" fontId="17" fillId="61" borderId="25" xfId="0" applyFont="1" applyFill="1" applyBorder="1" applyAlignment="1">
      <alignment horizontal="center" vertical="center" wrapText="1"/>
    </xf>
    <xf numFmtId="167" fontId="17" fillId="61" borderId="25" xfId="0" applyNumberFormat="1" applyFont="1" applyFill="1" applyBorder="1" applyAlignment="1">
      <alignment horizontal="center" vertical="center" wrapText="1"/>
    </xf>
    <xf numFmtId="0" fontId="17" fillId="62" borderId="25" xfId="0" applyFont="1" applyFill="1" applyBorder="1" applyAlignment="1">
      <alignment horizontal="center" vertical="center" wrapText="1"/>
    </xf>
    <xf numFmtId="167" fontId="17" fillId="62" borderId="25" xfId="0" applyNumberFormat="1" applyFont="1" applyFill="1" applyBorder="1" applyAlignment="1">
      <alignment horizontal="center" vertical="center" wrapText="1"/>
    </xf>
    <xf numFmtId="0" fontId="17" fillId="63" borderId="25" xfId="0" applyFont="1" applyFill="1" applyBorder="1" applyAlignment="1">
      <alignment horizontal="center" vertical="center" wrapText="1"/>
    </xf>
    <xf numFmtId="167" fontId="17" fillId="60" borderId="25" xfId="0" applyNumberFormat="1" applyFont="1" applyFill="1" applyBorder="1" applyAlignment="1">
      <alignment horizontal="center" vertical="center" wrapText="1"/>
    </xf>
    <xf numFmtId="167" fontId="17" fillId="0" borderId="25" xfId="0" applyNumberFormat="1" applyFont="1" applyBorder="1" applyAlignment="1">
      <alignment horizontal="center" vertical="center" wrapText="1"/>
    </xf>
    <xf numFmtId="0" fontId="17" fillId="29" borderId="25" xfId="0" applyFont="1" applyFill="1" applyBorder="1" applyAlignment="1">
      <alignment horizontal="center" vertical="center" wrapText="1"/>
    </xf>
    <xf numFmtId="4" fontId="17" fillId="29" borderId="25" xfId="0" applyNumberFormat="1" applyFont="1" applyFill="1" applyBorder="1" applyAlignment="1">
      <alignment horizontal="center" vertical="center" wrapText="1"/>
    </xf>
    <xf numFmtId="4" fontId="17" fillId="59" borderId="25" xfId="0" applyNumberFormat="1" applyFont="1" applyFill="1" applyBorder="1" applyAlignment="1">
      <alignment horizontal="center" vertical="center" wrapText="1"/>
    </xf>
    <xf numFmtId="4" fontId="17" fillId="0" borderId="25" xfId="0" applyNumberFormat="1" applyFont="1" applyBorder="1" applyAlignment="1">
      <alignment horizontal="center" vertical="center" wrapText="1"/>
    </xf>
    <xf numFmtId="0" fontId="17" fillId="31" borderId="25" xfId="0" applyFont="1" applyFill="1" applyBorder="1" applyAlignment="1">
      <alignment horizontal="center" vertical="center" wrapText="1"/>
    </xf>
    <xf numFmtId="3" fontId="17" fillId="61" borderId="25" xfId="0" applyNumberFormat="1" applyFont="1" applyFill="1" applyBorder="1" applyAlignment="1">
      <alignment horizontal="center" vertical="center" wrapText="1"/>
    </xf>
    <xf numFmtId="4" fontId="17" fillId="61" borderId="25" xfId="0" applyNumberFormat="1" applyFont="1" applyFill="1" applyBorder="1" applyAlignment="1">
      <alignment horizontal="center" vertical="center" wrapText="1"/>
    </xf>
    <xf numFmtId="2" fontId="17" fillId="31" borderId="25" xfId="0" applyNumberFormat="1" applyFont="1" applyFill="1" applyBorder="1" applyAlignment="1">
      <alignment horizontal="center" vertical="center" wrapText="1"/>
    </xf>
    <xf numFmtId="4" fontId="17" fillId="31" borderId="25" xfId="0" applyNumberFormat="1" applyFont="1" applyFill="1" applyBorder="1" applyAlignment="1">
      <alignment horizontal="center" vertical="center" wrapText="1"/>
    </xf>
    <xf numFmtId="165" fontId="17" fillId="62" borderId="25" xfId="0" applyNumberFormat="1" applyFont="1" applyFill="1" applyBorder="1" applyAlignment="1">
      <alignment horizontal="center" vertical="center" wrapText="1"/>
    </xf>
    <xf numFmtId="167" fontId="0" fillId="30" borderId="25" xfId="0" applyNumberFormat="1" applyFill="1" applyBorder="1" applyAlignment="1">
      <alignment vertical="center" wrapText="1"/>
    </xf>
    <xf numFmtId="165" fontId="0" fillId="30" borderId="25" xfId="0" applyNumberFormat="1" applyFill="1" applyBorder="1" applyAlignment="1">
      <alignment vertical="center" wrapText="1"/>
    </xf>
    <xf numFmtId="4" fontId="0" fillId="30" borderId="25" xfId="0" applyNumberFormat="1" applyFill="1" applyBorder="1" applyAlignment="1">
      <alignment vertical="center"/>
    </xf>
    <xf numFmtId="4" fontId="0" fillId="30" borderId="25" xfId="0" applyNumberFormat="1" applyFill="1" applyBorder="1" applyAlignment="1">
      <alignment vertical="center" wrapText="1"/>
    </xf>
    <xf numFmtId="167" fontId="31" fillId="30" borderId="25" xfId="0" applyNumberFormat="1" applyFont="1" applyFill="1" applyBorder="1" applyAlignment="1">
      <alignment vertical="center" wrapText="1"/>
    </xf>
    <xf numFmtId="167" fontId="31" fillId="64" borderId="28" xfId="0" applyNumberFormat="1" applyFont="1" applyFill="1" applyBorder="1" applyAlignment="1">
      <alignment vertical="center" wrapText="1"/>
    </xf>
    <xf numFmtId="0" fontId="33" fillId="54" borderId="71" xfId="0" applyFont="1" applyFill="1" applyBorder="1" applyAlignment="1">
      <alignment horizontal="left" vertical="center" wrapText="1"/>
    </xf>
    <xf numFmtId="0" fontId="33" fillId="18" borderId="43" xfId="0" applyFont="1" applyFill="1" applyBorder="1" applyAlignment="1">
      <alignment horizontal="center" vertical="center" wrapText="1"/>
    </xf>
    <xf numFmtId="10" fontId="33" fillId="18" borderId="43" xfId="0" applyNumberFormat="1" applyFont="1" applyFill="1" applyBorder="1" applyAlignment="1">
      <alignment horizontal="center" vertical="center" wrapText="1"/>
    </xf>
    <xf numFmtId="0" fontId="33" fillId="18" borderId="43" xfId="0" applyFont="1" applyFill="1" applyBorder="1" applyAlignment="1">
      <alignment horizontal="left" vertical="center" wrapText="1"/>
    </xf>
    <xf numFmtId="167" fontId="31" fillId="64" borderId="81" xfId="0" applyNumberFormat="1" applyFont="1" applyFill="1" applyBorder="1" applyAlignment="1">
      <alignment vertical="center" wrapText="1"/>
    </xf>
    <xf numFmtId="167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vertical="center"/>
    </xf>
    <xf numFmtId="167" fontId="0" fillId="0" borderId="0" xfId="0" applyNumberFormat="1" applyAlignment="1">
      <alignment vertical="center"/>
    </xf>
    <xf numFmtId="167" fontId="31" fillId="0" borderId="0" xfId="0" applyNumberFormat="1" applyFont="1" applyAlignment="1">
      <alignment vertical="center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36" borderId="50" xfId="0" applyFill="1" applyBorder="1" applyAlignment="1" applyProtection="1">
      <alignment horizontal="center" vertical="center" wrapText="1"/>
      <protection locked="0"/>
    </xf>
    <xf numFmtId="170" fontId="0" fillId="0" borderId="6" xfId="0" applyNumberFormat="1" applyBorder="1" applyAlignment="1" applyProtection="1">
      <alignment horizontal="center" vertical="center" wrapText="1"/>
      <protection locked="0"/>
    </xf>
    <xf numFmtId="3" fontId="0" fillId="0" borderId="6" xfId="0" applyNumberFormat="1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50" xfId="0" applyBorder="1" applyAlignment="1" applyProtection="1">
      <alignment horizontal="center" vertical="center" wrapText="1"/>
      <protection locked="0"/>
    </xf>
    <xf numFmtId="0" fontId="0" fillId="0" borderId="35" xfId="0" applyBorder="1" applyAlignment="1" applyProtection="1">
      <alignment horizontal="center" vertical="center" wrapText="1"/>
      <protection locked="0"/>
    </xf>
    <xf numFmtId="170" fontId="0" fillId="0" borderId="35" xfId="0" applyNumberFormat="1" applyBorder="1" applyAlignment="1" applyProtection="1">
      <alignment horizontal="center" vertical="center" wrapText="1"/>
      <protection locked="0"/>
    </xf>
    <xf numFmtId="0" fontId="0" fillId="0" borderId="35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0" fontId="0" fillId="36" borderId="67" xfId="0" applyFill="1" applyBorder="1" applyAlignment="1" applyProtection="1">
      <alignment horizontal="center" vertical="center" wrapText="1"/>
      <protection locked="0"/>
    </xf>
    <xf numFmtId="170" fontId="0" fillId="0" borderId="43" xfId="0" applyNumberFormat="1" applyBorder="1" applyAlignment="1" applyProtection="1">
      <alignment horizontal="center" vertical="center" wrapText="1"/>
      <protection locked="0"/>
    </xf>
    <xf numFmtId="3" fontId="0" fillId="0" borderId="43" xfId="0" applyNumberFormat="1" applyBorder="1" applyAlignment="1" applyProtection="1">
      <alignment horizontal="center" vertical="center" wrapText="1"/>
      <protection locked="0"/>
    </xf>
    <xf numFmtId="0" fontId="0" fillId="0" borderId="43" xfId="0" applyBorder="1" applyAlignment="1" applyProtection="1">
      <alignment horizontal="center" vertical="center" wrapText="1"/>
      <protection locked="0"/>
    </xf>
    <xf numFmtId="0" fontId="0" fillId="0" borderId="67" xfId="0" applyBorder="1" applyAlignment="1" applyProtection="1">
      <alignment horizontal="center" vertical="center" wrapText="1"/>
      <protection locked="0"/>
    </xf>
    <xf numFmtId="0" fontId="0" fillId="0" borderId="42" xfId="0" applyBorder="1" applyAlignment="1" applyProtection="1">
      <alignment horizontal="center" vertical="center" wrapText="1"/>
      <protection locked="0"/>
    </xf>
    <xf numFmtId="170" fontId="0" fillId="0" borderId="42" xfId="0" applyNumberFormat="1" applyBorder="1" applyAlignment="1" applyProtection="1">
      <alignment horizontal="center" vertical="center" wrapText="1"/>
      <protection locked="0"/>
    </xf>
    <xf numFmtId="0" fontId="0" fillId="0" borderId="42" xfId="0" applyBorder="1" applyAlignment="1" applyProtection="1">
      <alignment vertical="center" wrapText="1"/>
      <protection locked="0"/>
    </xf>
    <xf numFmtId="0" fontId="0" fillId="0" borderId="43" xfId="0" applyBorder="1" applyAlignment="1" applyProtection="1">
      <alignment vertical="center" wrapText="1"/>
      <protection locked="0"/>
    </xf>
    <xf numFmtId="14" fontId="0" fillId="0" borderId="0" xfId="0" applyNumberFormat="1" applyAlignment="1">
      <alignment vertical="center"/>
    </xf>
    <xf numFmtId="4" fontId="17" fillId="0" borderId="0" xfId="0" applyNumberFormat="1" applyFont="1" applyAlignment="1">
      <alignment vertical="center"/>
    </xf>
    <xf numFmtId="0" fontId="17" fillId="20" borderId="2" xfId="0" applyFont="1" applyFill="1" applyBorder="1" applyAlignment="1">
      <alignment horizontal="center" vertical="center"/>
    </xf>
    <xf numFmtId="0" fontId="19" fillId="53" borderId="2" xfId="0" applyFont="1" applyFill="1" applyBorder="1" applyAlignment="1">
      <alignment horizontal="center" vertical="center"/>
    </xf>
    <xf numFmtId="0" fontId="19" fillId="45" borderId="15" xfId="0" applyFont="1" applyFill="1" applyBorder="1" applyAlignment="1">
      <alignment horizontal="center" vertical="center"/>
    </xf>
    <xf numFmtId="0" fontId="19" fillId="45" borderId="17" xfId="0" applyFont="1" applyFill="1" applyBorder="1" applyAlignment="1">
      <alignment horizontal="center" vertical="center"/>
    </xf>
    <xf numFmtId="0" fontId="19" fillId="47" borderId="17" xfId="0" applyFont="1" applyFill="1" applyBorder="1" applyAlignment="1">
      <alignment horizontal="center" vertical="center" wrapText="1"/>
    </xf>
    <xf numFmtId="0" fontId="19" fillId="45" borderId="21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0" fillId="54" borderId="87" xfId="0" applyFill="1" applyBorder="1" applyAlignment="1">
      <alignment horizontal="left" vertical="center"/>
    </xf>
    <xf numFmtId="0" fontId="33" fillId="18" borderId="6" xfId="0" applyFont="1" applyFill="1" applyBorder="1" applyAlignment="1">
      <alignment horizontal="center" vertical="center"/>
    </xf>
    <xf numFmtId="10" fontId="33" fillId="18" borderId="6" xfId="0" applyNumberFormat="1" applyFont="1" applyFill="1" applyBorder="1" applyAlignment="1">
      <alignment horizontal="center" vertical="center"/>
    </xf>
    <xf numFmtId="0" fontId="33" fillId="18" borderId="6" xfId="0" applyFont="1" applyFill="1" applyBorder="1" applyAlignment="1">
      <alignment horizontal="left" vertical="center"/>
    </xf>
    <xf numFmtId="0" fontId="17" fillId="35" borderId="25" xfId="0" applyFont="1" applyFill="1" applyBorder="1" applyAlignment="1">
      <alignment horizontal="center" vertical="center" wrapText="1"/>
    </xf>
    <xf numFmtId="3" fontId="17" fillId="46" borderId="25" xfId="0" applyNumberFormat="1" applyFont="1" applyFill="1" applyBorder="1" applyAlignment="1">
      <alignment horizontal="center" vertical="center" wrapText="1"/>
    </xf>
    <xf numFmtId="0" fontId="17" fillId="46" borderId="25" xfId="0" applyFont="1" applyFill="1" applyBorder="1" applyAlignment="1">
      <alignment horizontal="center" vertical="center" wrapText="1"/>
    </xf>
    <xf numFmtId="4" fontId="17" fillId="46" borderId="25" xfId="0" applyNumberFormat="1" applyFont="1" applyFill="1" applyBorder="1" applyAlignment="1">
      <alignment horizontal="center" vertical="center" wrapText="1"/>
    </xf>
    <xf numFmtId="167" fontId="0" fillId="27" borderId="25" xfId="0" applyNumberFormat="1" applyFill="1" applyBorder="1" applyAlignment="1">
      <alignment vertical="center" wrapText="1"/>
    </xf>
    <xf numFmtId="165" fontId="0" fillId="27" borderId="25" xfId="0" applyNumberFormat="1" applyFill="1" applyBorder="1" applyAlignment="1">
      <alignment vertical="center" wrapText="1"/>
    </xf>
    <xf numFmtId="4" fontId="0" fillId="27" borderId="25" xfId="0" applyNumberFormat="1" applyFill="1" applyBorder="1" applyAlignment="1">
      <alignment vertical="center"/>
    </xf>
    <xf numFmtId="4" fontId="0" fillId="27" borderId="25" xfId="0" applyNumberFormat="1" applyFill="1" applyBorder="1" applyAlignment="1">
      <alignment vertical="center" wrapText="1"/>
    </xf>
    <xf numFmtId="167" fontId="31" fillId="27" borderId="25" xfId="0" applyNumberFormat="1" applyFont="1" applyFill="1" applyBorder="1" applyAlignment="1">
      <alignment vertical="center" wrapText="1"/>
    </xf>
    <xf numFmtId="0" fontId="0" fillId="54" borderId="71" xfId="0" applyFill="1" applyBorder="1" applyAlignment="1">
      <alignment horizontal="left" vertical="center"/>
    </xf>
    <xf numFmtId="0" fontId="17" fillId="16" borderId="0" xfId="0" applyFont="1" applyFill="1" applyAlignment="1">
      <alignment horizontal="center" vertical="center"/>
    </xf>
    <xf numFmtId="4" fontId="17" fillId="16" borderId="0" xfId="0" applyNumberFormat="1" applyFont="1" applyFill="1" applyAlignment="1">
      <alignment horizontal="center" vertical="center"/>
    </xf>
    <xf numFmtId="165" fontId="17" fillId="16" borderId="0" xfId="0" applyNumberFormat="1" applyFont="1" applyFill="1" applyAlignment="1">
      <alignment horizontal="center" vertical="center"/>
    </xf>
    <xf numFmtId="167" fontId="17" fillId="0" borderId="0" xfId="0" applyNumberFormat="1" applyFont="1" applyAlignment="1">
      <alignment vertical="center"/>
    </xf>
    <xf numFmtId="0" fontId="19" fillId="58" borderId="2" xfId="0" applyFont="1" applyFill="1" applyBorder="1" applyAlignment="1">
      <alignment horizontal="center" vertical="center"/>
    </xf>
    <xf numFmtId="0" fontId="25" fillId="21" borderId="2" xfId="0" applyFont="1" applyFill="1" applyBorder="1" applyAlignment="1">
      <alignment vertical="center"/>
    </xf>
    <xf numFmtId="0" fontId="17" fillId="21" borderId="2" xfId="0" applyFont="1" applyFill="1" applyBorder="1" applyAlignment="1">
      <alignment vertical="center"/>
    </xf>
    <xf numFmtId="0" fontId="17" fillId="11" borderId="2" xfId="0" applyFont="1" applyFill="1" applyBorder="1" applyAlignment="1">
      <alignment vertical="center"/>
    </xf>
    <xf numFmtId="0" fontId="17" fillId="5" borderId="0" xfId="0" applyFont="1" applyFill="1"/>
    <xf numFmtId="0" fontId="17" fillId="11" borderId="0" xfId="0" applyFont="1" applyFill="1" applyAlignment="1">
      <alignment horizontal="center" vertical="center"/>
    </xf>
    <xf numFmtId="0" fontId="19" fillId="45" borderId="18" xfId="0" applyFont="1" applyFill="1" applyBorder="1" applyAlignment="1">
      <alignment horizontal="center" vertical="center"/>
    </xf>
    <xf numFmtId="0" fontId="19" fillId="45" borderId="45" xfId="0" applyFont="1" applyFill="1" applyBorder="1" applyAlignment="1">
      <alignment horizontal="center" vertical="center"/>
    </xf>
    <xf numFmtId="0" fontId="17" fillId="45" borderId="45" xfId="0" applyFont="1" applyFill="1" applyBorder="1" applyAlignment="1">
      <alignment horizontal="center" vertical="center"/>
    </xf>
    <xf numFmtId="0" fontId="17" fillId="57" borderId="0" xfId="0" applyFont="1" applyFill="1" applyAlignment="1">
      <alignment horizontal="center" vertical="center"/>
    </xf>
    <xf numFmtId="0" fontId="17" fillId="0" borderId="13" xfId="0" applyFont="1" applyBorder="1" applyAlignment="1">
      <alignment horizontal="center"/>
    </xf>
    <xf numFmtId="0" fontId="17" fillId="57" borderId="0" xfId="0" applyFont="1" applyFill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19" borderId="70" xfId="0" applyFont="1" applyFill="1" applyBorder="1" applyAlignment="1">
      <alignment horizontal="left" vertical="center"/>
    </xf>
    <xf numFmtId="0" fontId="17" fillId="30" borderId="0" xfId="0" applyFont="1" applyFill="1" applyAlignment="1">
      <alignment horizontal="center" vertical="center"/>
    </xf>
    <xf numFmtId="4" fontId="17" fillId="0" borderId="14" xfId="0" applyNumberFormat="1" applyFont="1" applyBorder="1" applyAlignment="1">
      <alignment horizontal="center" vertical="center"/>
    </xf>
    <xf numFmtId="4" fontId="17" fillId="25" borderId="23" xfId="0" applyNumberFormat="1" applyFont="1" applyFill="1" applyBorder="1" applyAlignment="1">
      <alignment horizontal="center" vertical="center"/>
    </xf>
    <xf numFmtId="4" fontId="17" fillId="30" borderId="0" xfId="0" applyNumberFormat="1" applyFont="1" applyFill="1"/>
    <xf numFmtId="0" fontId="17" fillId="31" borderId="0" xfId="0" applyFont="1" applyFill="1"/>
    <xf numFmtId="4" fontId="17" fillId="0" borderId="0" xfId="0" applyNumberFormat="1" applyFont="1"/>
    <xf numFmtId="0" fontId="17" fillId="19" borderId="71" xfId="0" applyFont="1" applyFill="1" applyBorder="1" applyAlignment="1">
      <alignment horizontal="left" vertical="center"/>
    </xf>
    <xf numFmtId="4" fontId="17" fillId="25" borderId="24" xfId="0" applyNumberFormat="1" applyFont="1" applyFill="1" applyBorder="1" applyAlignment="1">
      <alignment horizontal="center" vertical="center"/>
    </xf>
    <xf numFmtId="167" fontId="31" fillId="64" borderId="82" xfId="0" applyNumberFormat="1" applyFont="1" applyFill="1" applyBorder="1" applyAlignment="1">
      <alignment vertical="center" wrapText="1"/>
    </xf>
    <xf numFmtId="4" fontId="17" fillId="0" borderId="3" xfId="0" applyNumberFormat="1" applyFont="1" applyBorder="1"/>
    <xf numFmtId="0" fontId="17" fillId="0" borderId="0" xfId="0" applyFont="1" applyAlignment="1">
      <alignment horizontal="right" vertical="center"/>
    </xf>
    <xf numFmtId="4" fontId="17" fillId="14" borderId="13" xfId="0" applyNumberFormat="1" applyFont="1" applyFill="1" applyBorder="1" applyAlignment="1">
      <alignment horizontal="center" vertical="center"/>
    </xf>
    <xf numFmtId="0" fontId="24" fillId="24" borderId="43" xfId="0" applyFont="1" applyFill="1" applyBorder="1" applyAlignment="1" applyProtection="1">
      <alignment horizontal="left" vertical="center" wrapText="1"/>
      <protection locked="0"/>
    </xf>
    <xf numFmtId="0" fontId="0" fillId="24" borderId="43" xfId="0" applyFill="1" applyBorder="1" applyAlignment="1" applyProtection="1">
      <alignment horizontal="left" vertical="center" wrapText="1"/>
      <protection locked="0"/>
    </xf>
    <xf numFmtId="0" fontId="14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Border="1"/>
    <xf numFmtId="0" fontId="14" fillId="0" borderId="0" xfId="0" applyFont="1" applyAlignment="1"/>
    <xf numFmtId="0" fontId="36" fillId="0" borderId="0" xfId="0" applyFont="1"/>
    <xf numFmtId="0" fontId="0" fillId="0" borderId="0" xfId="0" applyFont="1"/>
    <xf numFmtId="0" fontId="57" fillId="0" borderId="0" xfId="0" applyFont="1"/>
    <xf numFmtId="0" fontId="57" fillId="0" borderId="0" xfId="0" applyFont="1" applyAlignment="1">
      <alignment vertical="center" wrapText="1"/>
    </xf>
    <xf numFmtId="0" fontId="30" fillId="0" borderId="0" xfId="0" applyFont="1" applyAlignment="1"/>
    <xf numFmtId="0" fontId="30" fillId="0" borderId="0" xfId="0" applyFont="1"/>
    <xf numFmtId="0" fontId="0" fillId="0" borderId="0" xfId="0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4" fillId="3" borderId="68" xfId="0" applyFont="1" applyFill="1" applyBorder="1" applyAlignment="1">
      <alignment horizontal="center" vertical="center"/>
    </xf>
    <xf numFmtId="0" fontId="19" fillId="41" borderId="21" xfId="0" applyFont="1" applyFill="1" applyBorder="1" applyAlignment="1">
      <alignment horizontal="center" vertical="center" wrapText="1"/>
    </xf>
    <xf numFmtId="0" fontId="19" fillId="44" borderId="17" xfId="0" applyFont="1" applyFill="1" applyBorder="1" applyAlignment="1">
      <alignment horizontal="center" vertical="center" wrapText="1"/>
    </xf>
    <xf numFmtId="0" fontId="19" fillId="40" borderId="17" xfId="0" applyFont="1" applyFill="1" applyBorder="1" applyAlignment="1">
      <alignment horizontal="center" vertical="center"/>
    </xf>
    <xf numFmtId="0" fontId="19" fillId="45" borderId="61" xfId="0" applyFont="1" applyFill="1" applyBorder="1" applyAlignment="1">
      <alignment horizontal="center" vertical="center"/>
    </xf>
    <xf numFmtId="167" fontId="31" fillId="30" borderId="27" xfId="0" applyNumberFormat="1" applyFont="1" applyFill="1" applyBorder="1" applyAlignment="1" applyProtection="1">
      <alignment vertical="center" wrapText="1"/>
      <protection locked="0"/>
    </xf>
    <xf numFmtId="167" fontId="31" fillId="30" borderId="88" xfId="0" applyNumberFormat="1" applyFont="1" applyFill="1" applyBorder="1" applyAlignment="1" applyProtection="1">
      <alignment vertical="center" wrapText="1"/>
      <protection locked="0"/>
    </xf>
    <xf numFmtId="0" fontId="0" fillId="0" borderId="89" xfId="0" applyBorder="1"/>
    <xf numFmtId="0" fontId="0" fillId="0" borderId="89" xfId="0" applyBorder="1" applyAlignment="1">
      <alignment wrapText="1"/>
    </xf>
    <xf numFmtId="0" fontId="0" fillId="0" borderId="89" xfId="0" applyBorder="1" applyAlignment="1">
      <alignment vertical="center" wrapText="1"/>
    </xf>
    <xf numFmtId="0" fontId="0" fillId="0" borderId="89" xfId="0" applyBorder="1" applyAlignment="1">
      <alignment horizontal="left" vertical="center" wrapText="1"/>
    </xf>
    <xf numFmtId="0" fontId="0" fillId="30" borderId="0" xfId="0" applyFill="1"/>
    <xf numFmtId="0" fontId="0" fillId="30" borderId="0" xfId="0" applyFill="1" applyAlignment="1">
      <alignment wrapText="1"/>
    </xf>
    <xf numFmtId="0" fontId="0" fillId="30" borderId="0" xfId="0" applyFill="1" applyAlignment="1">
      <alignment vertical="center" wrapText="1"/>
    </xf>
    <xf numFmtId="0" fontId="0" fillId="30" borderId="0" xfId="0" applyFill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0" fontId="0" fillId="0" borderId="52" xfId="0" applyBorder="1" applyAlignment="1">
      <alignment horizontal="left" vertical="center" wrapText="1"/>
    </xf>
    <xf numFmtId="0" fontId="7" fillId="0" borderId="1" xfId="0" applyFont="1" applyBorder="1" applyAlignment="1" applyProtection="1">
      <alignment horizontal="center" vertical="center" textRotation="90" wrapText="1"/>
      <protection hidden="1"/>
    </xf>
    <xf numFmtId="0" fontId="7" fillId="0" borderId="11" xfId="0" applyFont="1" applyBorder="1" applyAlignment="1" applyProtection="1">
      <alignment horizontal="center" vertical="center" textRotation="90" wrapText="1"/>
      <protection hidden="1"/>
    </xf>
    <xf numFmtId="0" fontId="7" fillId="0" borderId="6" xfId="0" applyFont="1" applyBorder="1" applyAlignment="1" applyProtection="1">
      <alignment horizontal="center" vertical="center" textRotation="90" wrapText="1"/>
      <protection hidden="1"/>
    </xf>
    <xf numFmtId="0" fontId="7" fillId="0" borderId="38" xfId="0" applyFont="1" applyBorder="1" applyAlignment="1" applyProtection="1">
      <alignment horizontal="center" vertical="center" textRotation="90" wrapText="1"/>
      <protection hidden="1"/>
    </xf>
    <xf numFmtId="0" fontId="0" fillId="0" borderId="49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0" fontId="0" fillId="0" borderId="5" xfId="0" applyBorder="1" applyAlignment="1">
      <alignment horizontal="center" vertical="center" wrapText="1"/>
    </xf>
    <xf numFmtId="0" fontId="0" fillId="0" borderId="46" xfId="0" applyBorder="1" applyAlignment="1">
      <alignment horizontal="center" vertical="center" wrapText="1"/>
    </xf>
    <xf numFmtId="0" fontId="0" fillId="0" borderId="42" xfId="0" applyBorder="1" applyAlignment="1">
      <alignment horizontal="left" vertical="center" wrapText="1"/>
    </xf>
    <xf numFmtId="164" fontId="38" fillId="0" borderId="43" xfId="0" applyNumberFormat="1" applyFont="1" applyBorder="1" applyAlignment="1">
      <alignment horizontal="right" vertical="center"/>
    </xf>
    <xf numFmtId="0" fontId="6" fillId="5" borderId="37" xfId="0" applyFont="1" applyFill="1" applyBorder="1" applyAlignment="1">
      <alignment horizontal="center" vertical="center"/>
    </xf>
    <xf numFmtId="0" fontId="31" fillId="0" borderId="5" xfId="0" applyFont="1" applyBorder="1" applyAlignment="1">
      <alignment horizontal="center" vertical="center" wrapText="1"/>
    </xf>
    <xf numFmtId="0" fontId="31" fillId="0" borderId="46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 wrapText="1"/>
    </xf>
    <xf numFmtId="0" fontId="31" fillId="0" borderId="33" xfId="0" applyFont="1" applyBorder="1" applyAlignment="1">
      <alignment horizontal="center" vertical="center" wrapText="1"/>
    </xf>
    <xf numFmtId="0" fontId="31" fillId="0" borderId="2" xfId="0" applyFont="1" applyBorder="1" applyAlignment="1">
      <alignment horizontal="center" vertical="center" wrapText="1"/>
    </xf>
    <xf numFmtId="0" fontId="31" fillId="0" borderId="34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 wrapText="1"/>
    </xf>
    <xf numFmtId="0" fontId="31" fillId="0" borderId="11" xfId="0" applyFont="1" applyBorder="1" applyAlignment="1">
      <alignment horizontal="center" vertical="center" wrapText="1"/>
    </xf>
    <xf numFmtId="0" fontId="31" fillId="0" borderId="32" xfId="0" applyFont="1" applyBorder="1" applyAlignment="1">
      <alignment horizontal="center" vertical="center" wrapText="1"/>
    </xf>
    <xf numFmtId="0" fontId="7" fillId="37" borderId="48" xfId="1" applyFont="1" applyFill="1" applyBorder="1" applyAlignment="1">
      <alignment horizontal="center" vertical="center" wrapText="1"/>
    </xf>
    <xf numFmtId="0" fontId="0" fillId="35" borderId="1" xfId="0" applyFill="1" applyBorder="1" applyAlignment="1">
      <alignment horizontal="center" vertical="center" wrapText="1"/>
    </xf>
    <xf numFmtId="0" fontId="0" fillId="35" borderId="11" xfId="0" applyFill="1" applyBorder="1" applyAlignment="1">
      <alignment horizontal="center" vertical="center" wrapText="1"/>
    </xf>
    <xf numFmtId="0" fontId="0" fillId="35" borderId="6" xfId="0" applyFill="1" applyBorder="1" applyAlignment="1">
      <alignment horizontal="center" vertical="center" wrapText="1"/>
    </xf>
    <xf numFmtId="0" fontId="31" fillId="0" borderId="37" xfId="0" applyFont="1" applyBorder="1" applyAlignment="1">
      <alignment horizontal="left"/>
    </xf>
    <xf numFmtId="0" fontId="39" fillId="0" borderId="0" xfId="0" applyFont="1" applyAlignment="1">
      <alignment horizontal="left" vertical="center" wrapText="1"/>
    </xf>
    <xf numFmtId="164" fontId="38" fillId="0" borderId="0" xfId="0" applyNumberFormat="1" applyFont="1" applyAlignment="1">
      <alignment horizontal="right" vertical="center"/>
    </xf>
    <xf numFmtId="164" fontId="38" fillId="0" borderId="44" xfId="0" applyNumberFormat="1" applyFont="1" applyBorder="1" applyAlignment="1">
      <alignment horizontal="right" vertical="center"/>
    </xf>
    <xf numFmtId="0" fontId="31" fillId="0" borderId="39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 wrapText="1"/>
    </xf>
    <xf numFmtId="0" fontId="43" fillId="68" borderId="47" xfId="7" applyFont="1" applyFill="1" applyBorder="1" applyAlignment="1">
      <alignment horizontal="center"/>
    </xf>
    <xf numFmtId="0" fontId="45" fillId="66" borderId="11" xfId="7" applyFont="1" applyFill="1" applyBorder="1" applyAlignment="1">
      <alignment horizontal="center" vertical="center"/>
    </xf>
    <xf numFmtId="0" fontId="45" fillId="0" borderId="11" xfId="7" applyFont="1" applyBorder="1" applyAlignment="1">
      <alignment horizontal="center" vertical="center"/>
    </xf>
    <xf numFmtId="1" fontId="45" fillId="66" borderId="7" xfId="7" applyNumberFormat="1" applyFont="1" applyFill="1" applyBorder="1" applyAlignment="1">
      <alignment horizontal="center" vertical="center"/>
    </xf>
    <xf numFmtId="1" fontId="45" fillId="67" borderId="7" xfId="7" applyNumberFormat="1" applyFont="1" applyFill="1" applyBorder="1" applyAlignment="1">
      <alignment horizontal="center" vertical="center"/>
    </xf>
    <xf numFmtId="0" fontId="43" fillId="65" borderId="47" xfId="7" applyFont="1" applyFill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56" fillId="0" borderId="5" xfId="0" applyFont="1" applyBorder="1" applyAlignment="1">
      <alignment horizontal="center"/>
    </xf>
    <xf numFmtId="0" fontId="56" fillId="0" borderId="0" xfId="0" applyFont="1" applyBorder="1" applyAlignment="1">
      <alignment horizontal="center"/>
    </xf>
    <xf numFmtId="0" fontId="31" fillId="0" borderId="2" xfId="0" applyFont="1" applyBorder="1" applyAlignment="1">
      <alignment horizontal="center"/>
    </xf>
    <xf numFmtId="0" fontId="30" fillId="0" borderId="0" xfId="0" applyFont="1" applyAlignment="1">
      <alignment wrapText="1"/>
    </xf>
    <xf numFmtId="0" fontId="30" fillId="0" borderId="0" xfId="0" applyFont="1" applyAlignment="1">
      <alignment horizontal="left" vertical="center" wrapText="1"/>
    </xf>
    <xf numFmtId="0" fontId="57" fillId="0" borderId="0" xfId="0" applyFont="1" applyAlignment="1">
      <alignment horizontal="left" vertical="center" wrapText="1"/>
    </xf>
    <xf numFmtId="0" fontId="0" fillId="0" borderId="0" xfId="0" applyAlignment="1">
      <alignment horizontal="left" wrapText="1"/>
    </xf>
    <xf numFmtId="0" fontId="58" fillId="0" borderId="0" xfId="0" applyFont="1" applyAlignment="1">
      <alignment horizontal="left" vertical="center" wrapText="1"/>
    </xf>
    <xf numFmtId="0" fontId="31" fillId="38" borderId="69" xfId="0" applyFont="1" applyFill="1" applyBorder="1" applyAlignment="1">
      <alignment horizontal="center" vertical="center" wrapText="1"/>
    </xf>
    <xf numFmtId="0" fontId="31" fillId="38" borderId="26" xfId="0" applyFont="1" applyFill="1" applyBorder="1" applyAlignment="1">
      <alignment horizontal="center" vertical="center" wrapText="1"/>
    </xf>
    <xf numFmtId="0" fontId="29" fillId="0" borderId="38" xfId="2" applyFont="1" applyBorder="1" applyAlignment="1">
      <alignment horizontal="center" vertical="center" wrapText="1"/>
    </xf>
    <xf numFmtId="0" fontId="29" fillId="0" borderId="32" xfId="2" applyFont="1" applyBorder="1" applyAlignment="1">
      <alignment horizontal="center" vertical="center" wrapText="1"/>
    </xf>
    <xf numFmtId="0" fontId="19" fillId="0" borderId="51" xfId="0" applyFont="1" applyBorder="1" applyAlignment="1">
      <alignment horizontal="center" vertical="center" wrapText="1"/>
    </xf>
    <xf numFmtId="0" fontId="19" fillId="0" borderId="83" xfId="0" applyFont="1" applyBorder="1" applyAlignment="1">
      <alignment horizontal="center" vertical="center" wrapText="1"/>
    </xf>
    <xf numFmtId="0" fontId="29" fillId="0" borderId="46" xfId="2" applyFont="1" applyBorder="1" applyAlignment="1">
      <alignment horizontal="center" vertical="center" wrapText="1"/>
    </xf>
    <xf numFmtId="0" fontId="29" fillId="0" borderId="34" xfId="2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31" fillId="38" borderId="31" xfId="0" applyFont="1" applyFill="1" applyBorder="1" applyAlignment="1">
      <alignment horizontal="center" vertical="center"/>
    </xf>
    <xf numFmtId="0" fontId="31" fillId="29" borderId="69" xfId="0" applyFont="1" applyFill="1" applyBorder="1" applyAlignment="1">
      <alignment horizontal="center" vertical="center" wrapText="1"/>
    </xf>
    <xf numFmtId="0" fontId="31" fillId="29" borderId="26" xfId="0" applyFont="1" applyFill="1" applyBorder="1" applyAlignment="1">
      <alignment horizontal="center" vertical="center" wrapText="1"/>
    </xf>
    <xf numFmtId="0" fontId="0" fillId="7" borderId="78" xfId="0" applyFill="1" applyBorder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0" fontId="0" fillId="7" borderId="31" xfId="0" applyFill="1" applyBorder="1" applyAlignment="1">
      <alignment horizontal="center" vertical="center" wrapText="1"/>
    </xf>
    <xf numFmtId="0" fontId="14" fillId="39" borderId="79" xfId="0" applyFont="1" applyFill="1" applyBorder="1" applyAlignment="1">
      <alignment horizontal="center" vertical="center"/>
    </xf>
    <xf numFmtId="0" fontId="14" fillId="39" borderId="3" xfId="0" applyFont="1" applyFill="1" applyBorder="1" applyAlignment="1">
      <alignment horizontal="center" vertical="center"/>
    </xf>
    <xf numFmtId="0" fontId="14" fillId="39" borderId="80" xfId="0" applyFont="1" applyFill="1" applyBorder="1" applyAlignment="1">
      <alignment horizontal="center" vertical="center"/>
    </xf>
    <xf numFmtId="0" fontId="14" fillId="3" borderId="68" xfId="0" applyFont="1" applyFill="1" applyBorder="1" applyAlignment="1">
      <alignment horizontal="center" vertical="center"/>
    </xf>
    <xf numFmtId="0" fontId="29" fillId="3" borderId="5" xfId="2" applyFont="1" applyFill="1" applyBorder="1" applyAlignment="1">
      <alignment horizontal="center" vertical="center"/>
    </xf>
    <xf numFmtId="0" fontId="29" fillId="3" borderId="2" xfId="2" applyFont="1" applyFill="1" applyBorder="1" applyAlignment="1">
      <alignment horizontal="center" vertical="center"/>
    </xf>
    <xf numFmtId="0" fontId="19" fillId="45" borderId="61" xfId="0" applyFont="1" applyFill="1" applyBorder="1" applyAlignment="1">
      <alignment horizontal="center" vertical="center"/>
    </xf>
    <xf numFmtId="0" fontId="19" fillId="45" borderId="25" xfId="0" applyFont="1" applyFill="1" applyBorder="1" applyAlignment="1">
      <alignment horizontal="center" vertical="center"/>
    </xf>
    <xf numFmtId="0" fontId="19" fillId="45" borderId="29" xfId="0" applyFont="1" applyFill="1" applyBorder="1" applyAlignment="1">
      <alignment horizontal="center" vertical="center"/>
    </xf>
    <xf numFmtId="0" fontId="19" fillId="45" borderId="25" xfId="0" applyFont="1" applyFill="1" applyBorder="1" applyAlignment="1">
      <alignment horizontal="center" vertical="center" wrapText="1"/>
    </xf>
    <xf numFmtId="0" fontId="19" fillId="45" borderId="29" xfId="0" applyFont="1" applyFill="1" applyBorder="1" applyAlignment="1">
      <alignment horizontal="center" vertical="center" wrapText="1"/>
    </xf>
    <xf numFmtId="0" fontId="19" fillId="52" borderId="5" xfId="0" applyFont="1" applyFill="1" applyBorder="1" applyAlignment="1">
      <alignment horizontal="center" vertical="center"/>
    </xf>
    <xf numFmtId="0" fontId="19" fillId="52" borderId="0" xfId="0" applyFont="1" applyFill="1" applyAlignment="1">
      <alignment horizontal="center" vertical="center"/>
    </xf>
    <xf numFmtId="0" fontId="19" fillId="52" borderId="2" xfId="0" applyFont="1" applyFill="1" applyBorder="1" applyAlignment="1">
      <alignment horizontal="center" vertical="center"/>
    </xf>
    <xf numFmtId="0" fontId="22" fillId="55" borderId="5" xfId="0" applyFont="1" applyFill="1" applyBorder="1" applyAlignment="1">
      <alignment horizontal="center" vertical="center" wrapText="1"/>
    </xf>
    <xf numFmtId="0" fontId="22" fillId="55" borderId="0" xfId="0" applyFont="1" applyFill="1" applyAlignment="1">
      <alignment horizontal="center" vertical="center" wrapText="1"/>
    </xf>
    <xf numFmtId="0" fontId="22" fillId="55" borderId="2" xfId="0" applyFont="1" applyFill="1" applyBorder="1" applyAlignment="1">
      <alignment horizontal="center" vertical="center" wrapText="1"/>
    </xf>
    <xf numFmtId="0" fontId="40" fillId="39" borderId="55" xfId="0" applyFont="1" applyFill="1" applyBorder="1" applyAlignment="1">
      <alignment horizontal="center" vertical="center"/>
    </xf>
    <xf numFmtId="0" fontId="40" fillId="39" borderId="56" xfId="0" applyFont="1" applyFill="1" applyBorder="1" applyAlignment="1">
      <alignment horizontal="center" vertical="center"/>
    </xf>
    <xf numFmtId="2" fontId="40" fillId="10" borderId="55" xfId="0" applyNumberFormat="1" applyFont="1" applyFill="1" applyBorder="1" applyAlignment="1">
      <alignment horizontal="center" vertical="center"/>
    </xf>
    <xf numFmtId="2" fontId="40" fillId="10" borderId="57" xfId="0" applyNumberFormat="1" applyFont="1" applyFill="1" applyBorder="1" applyAlignment="1">
      <alignment horizontal="center" vertical="center"/>
    </xf>
    <xf numFmtId="0" fontId="18" fillId="43" borderId="75" xfId="0" applyFont="1" applyFill="1" applyBorder="1" applyAlignment="1">
      <alignment horizontal="center" vertical="center"/>
    </xf>
    <xf numFmtId="0" fontId="18" fillId="43" borderId="5" xfId="0" applyFont="1" applyFill="1" applyBorder="1" applyAlignment="1">
      <alignment horizontal="center" vertical="center"/>
    </xf>
    <xf numFmtId="0" fontId="18" fillId="43" borderId="74" xfId="0" applyFont="1" applyFill="1" applyBorder="1" applyAlignment="1">
      <alignment horizontal="center" vertical="center"/>
    </xf>
    <xf numFmtId="0" fontId="19" fillId="45" borderId="58" xfId="0" applyFont="1" applyFill="1" applyBorder="1" applyAlignment="1">
      <alignment horizontal="center" vertical="center"/>
    </xf>
    <xf numFmtId="0" fontId="19" fillId="45" borderId="59" xfId="0" applyFont="1" applyFill="1" applyBorder="1" applyAlignment="1">
      <alignment horizontal="center" vertical="center"/>
    </xf>
    <xf numFmtId="0" fontId="19" fillId="45" borderId="60" xfId="0" applyFont="1" applyFill="1" applyBorder="1" applyAlignment="1">
      <alignment horizontal="center" vertical="center"/>
    </xf>
    <xf numFmtId="0" fontId="19" fillId="50" borderId="58" xfId="0" applyFont="1" applyFill="1" applyBorder="1" applyAlignment="1">
      <alignment horizontal="center" vertical="center"/>
    </xf>
    <xf numFmtId="0" fontId="19" fillId="50" borderId="59" xfId="0" applyFont="1" applyFill="1" applyBorder="1" applyAlignment="1">
      <alignment horizontal="center" vertical="center"/>
    </xf>
    <xf numFmtId="0" fontId="19" fillId="50" borderId="60" xfId="0" applyFont="1" applyFill="1" applyBorder="1" applyAlignment="1">
      <alignment horizontal="center" vertical="center"/>
    </xf>
    <xf numFmtId="0" fontId="36" fillId="0" borderId="37" xfId="0" applyFont="1" applyBorder="1" applyAlignment="1">
      <alignment horizontal="center" vertical="center"/>
    </xf>
    <xf numFmtId="0" fontId="19" fillId="40" borderId="17" xfId="0" applyFont="1" applyFill="1" applyBorder="1" applyAlignment="1">
      <alignment horizontal="center" vertical="center" wrapText="1"/>
    </xf>
    <xf numFmtId="0" fontId="19" fillId="40" borderId="17" xfId="0" applyFont="1" applyFill="1" applyBorder="1" applyAlignment="1">
      <alignment horizontal="center" vertical="center"/>
    </xf>
    <xf numFmtId="0" fontId="19" fillId="40" borderId="18" xfId="0" applyFont="1" applyFill="1" applyBorder="1" applyAlignment="1">
      <alignment horizontal="center" vertical="center"/>
    </xf>
    <xf numFmtId="0" fontId="19" fillId="41" borderId="17" xfId="0" applyFont="1" applyFill="1" applyBorder="1" applyAlignment="1">
      <alignment horizontal="center" vertical="center" wrapText="1"/>
    </xf>
    <xf numFmtId="0" fontId="19" fillId="41" borderId="17" xfId="0" applyFont="1" applyFill="1" applyBorder="1" applyAlignment="1">
      <alignment horizontal="center" vertical="center"/>
    </xf>
    <xf numFmtId="0" fontId="42" fillId="0" borderId="66" xfId="0" applyFont="1" applyBorder="1" applyAlignment="1">
      <alignment horizontal="center" vertical="center"/>
    </xf>
    <xf numFmtId="0" fontId="42" fillId="0" borderId="37" xfId="0" applyFont="1" applyBorder="1" applyAlignment="1">
      <alignment horizontal="center" vertical="center"/>
    </xf>
    <xf numFmtId="0" fontId="19" fillId="47" borderId="25" xfId="0" applyFont="1" applyFill="1" applyBorder="1" applyAlignment="1">
      <alignment horizontal="center" vertical="center" wrapText="1"/>
    </xf>
    <xf numFmtId="0" fontId="19" fillId="47" borderId="29" xfId="0" applyFont="1" applyFill="1" applyBorder="1" applyAlignment="1">
      <alignment horizontal="center" vertical="center" wrapText="1"/>
    </xf>
    <xf numFmtId="0" fontId="19" fillId="44" borderId="17" xfId="0" applyFont="1" applyFill="1" applyBorder="1" applyAlignment="1">
      <alignment horizontal="center" vertical="center" wrapText="1"/>
    </xf>
    <xf numFmtId="0" fontId="19" fillId="41" borderId="21" xfId="0" applyFont="1" applyFill="1" applyBorder="1" applyAlignment="1">
      <alignment horizontal="center" vertical="center" wrapText="1"/>
    </xf>
    <xf numFmtId="0" fontId="19" fillId="42" borderId="54" xfId="0" applyFont="1" applyFill="1" applyBorder="1" applyAlignment="1">
      <alignment horizontal="center" vertical="center" wrapText="1"/>
    </xf>
    <xf numFmtId="0" fontId="19" fillId="44" borderId="17" xfId="0" applyFont="1" applyFill="1" applyBorder="1" applyAlignment="1">
      <alignment horizontal="center" vertical="center"/>
    </xf>
    <xf numFmtId="0" fontId="19" fillId="44" borderId="15" xfId="0" applyFont="1" applyFill="1" applyBorder="1" applyAlignment="1">
      <alignment horizontal="center" vertical="center" wrapText="1"/>
    </xf>
    <xf numFmtId="0" fontId="19" fillId="44" borderId="16" xfId="0" applyFont="1" applyFill="1" applyBorder="1" applyAlignment="1">
      <alignment horizontal="center" vertical="center" wrapText="1"/>
    </xf>
    <xf numFmtId="0" fontId="19" fillId="44" borderId="62" xfId="0" applyFont="1" applyFill="1" applyBorder="1" applyAlignment="1">
      <alignment horizontal="center" vertical="center" wrapText="1"/>
    </xf>
    <xf numFmtId="0" fontId="19" fillId="44" borderId="63" xfId="0" applyFont="1" applyFill="1" applyBorder="1" applyAlignment="1">
      <alignment horizontal="center" vertical="center" wrapText="1"/>
    </xf>
    <xf numFmtId="0" fontId="19" fillId="14" borderId="76" xfId="0" applyFont="1" applyFill="1" applyBorder="1" applyAlignment="1">
      <alignment horizontal="center" vertical="center" wrapText="1"/>
    </xf>
    <xf numFmtId="0" fontId="19" fillId="14" borderId="77" xfId="0" applyFont="1" applyFill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 wrapText="1"/>
    </xf>
    <xf numFmtId="0" fontId="17" fillId="0" borderId="64" xfId="0" applyFont="1" applyBorder="1" applyAlignment="1">
      <alignment horizontal="center" vertical="center" wrapText="1"/>
    </xf>
    <xf numFmtId="0" fontId="17" fillId="0" borderId="65" xfId="0" applyFont="1" applyBorder="1" applyAlignment="1">
      <alignment horizontal="center" vertical="center"/>
    </xf>
    <xf numFmtId="2" fontId="17" fillId="0" borderId="65" xfId="0" applyNumberFormat="1" applyFont="1" applyBorder="1" applyAlignment="1">
      <alignment horizontal="center" vertical="center"/>
    </xf>
    <xf numFmtId="2" fontId="17" fillId="0" borderId="64" xfId="0" applyNumberFormat="1" applyFont="1" applyBorder="1" applyAlignment="1">
      <alignment horizontal="center" vertical="center" wrapText="1"/>
    </xf>
    <xf numFmtId="0" fontId="31" fillId="38" borderId="25" xfId="0" applyFont="1" applyFill="1" applyBorder="1" applyAlignment="1">
      <alignment horizontal="center" vertical="center" wrapText="1"/>
    </xf>
    <xf numFmtId="0" fontId="17" fillId="16" borderId="22" xfId="0" applyFont="1" applyFill="1" applyBorder="1" applyAlignment="1">
      <alignment horizontal="center" vertical="center"/>
    </xf>
    <xf numFmtId="0" fontId="19" fillId="21" borderId="19" xfId="0" applyFont="1" applyFill="1" applyBorder="1" applyAlignment="1">
      <alignment horizontal="center" vertical="center"/>
    </xf>
    <xf numFmtId="0" fontId="19" fillId="21" borderId="17" xfId="0" applyFont="1" applyFill="1" applyBorder="1" applyAlignment="1">
      <alignment horizontal="center" vertical="center"/>
    </xf>
    <xf numFmtId="0" fontId="22" fillId="55" borderId="17" xfId="0" applyFont="1" applyFill="1" applyBorder="1" applyAlignment="1">
      <alignment horizontal="center" vertical="center" wrapText="1"/>
    </xf>
    <xf numFmtId="0" fontId="19" fillId="56" borderId="17" xfId="0" applyFont="1" applyFill="1" applyBorder="1" applyAlignment="1">
      <alignment horizontal="center" vertical="center"/>
    </xf>
    <xf numFmtId="0" fontId="19" fillId="23" borderId="18" xfId="0" applyFont="1" applyFill="1" applyBorder="1" applyAlignment="1">
      <alignment horizontal="center" vertical="center" wrapText="1"/>
    </xf>
    <xf numFmtId="0" fontId="19" fillId="45" borderId="18" xfId="0" applyFont="1" applyFill="1" applyBorder="1" applyAlignment="1">
      <alignment horizontal="center" vertical="center"/>
    </xf>
    <xf numFmtId="0" fontId="19" fillId="45" borderId="17" xfId="0" applyFont="1" applyFill="1" applyBorder="1" applyAlignment="1">
      <alignment horizontal="center" vertical="center"/>
    </xf>
    <xf numFmtId="0" fontId="19" fillId="50" borderId="19" xfId="0" applyFont="1" applyFill="1" applyBorder="1" applyAlignment="1">
      <alignment horizontal="center" vertical="center"/>
    </xf>
    <xf numFmtId="0" fontId="19" fillId="47" borderId="17" xfId="0" applyFont="1" applyFill="1" applyBorder="1" applyAlignment="1">
      <alignment horizontal="center" vertical="center"/>
    </xf>
    <xf numFmtId="0" fontId="19" fillId="17" borderId="1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7" fillId="14" borderId="20" xfId="0" applyFont="1" applyFill="1" applyBorder="1" applyAlignment="1">
      <alignment horizontal="center" vertical="center" wrapText="1"/>
    </xf>
    <xf numFmtId="0" fontId="17" fillId="21" borderId="19" xfId="0" applyFont="1" applyFill="1" applyBorder="1" applyAlignment="1">
      <alignment horizontal="center" vertical="center"/>
    </xf>
    <xf numFmtId="0" fontId="17" fillId="21" borderId="45" xfId="0" applyFont="1" applyFill="1" applyBorder="1" applyAlignment="1">
      <alignment horizontal="center" vertical="center"/>
    </xf>
    <xf numFmtId="0" fontId="22" fillId="22" borderId="17" xfId="0" applyFont="1" applyFill="1" applyBorder="1" applyAlignment="1">
      <alignment horizontal="center" vertical="center" wrapText="1"/>
    </xf>
    <xf numFmtId="0" fontId="17" fillId="45" borderId="17" xfId="0" applyFont="1" applyFill="1" applyBorder="1" applyAlignment="1">
      <alignment horizontal="center" vertical="center"/>
    </xf>
    <xf numFmtId="0" fontId="17" fillId="45" borderId="45" xfId="0" applyFont="1" applyFill="1" applyBorder="1" applyAlignment="1">
      <alignment horizontal="center" vertical="center"/>
    </xf>
    <xf numFmtId="0" fontId="17" fillId="0" borderId="66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9" fillId="47" borderId="72" xfId="0" applyFont="1" applyFill="1" applyBorder="1" applyAlignment="1">
      <alignment horizontal="center" vertical="center"/>
    </xf>
    <xf numFmtId="0" fontId="19" fillId="47" borderId="73" xfId="0" applyFont="1" applyFill="1" applyBorder="1" applyAlignment="1">
      <alignment horizontal="center" vertical="center"/>
    </xf>
    <xf numFmtId="0" fontId="19" fillId="45" borderId="19" xfId="0" applyFont="1" applyFill="1" applyBorder="1" applyAlignment="1">
      <alignment horizontal="center" vertical="center" wrapText="1"/>
    </xf>
    <xf numFmtId="0" fontId="17" fillId="45" borderId="45" xfId="0" applyFont="1" applyFill="1" applyBorder="1" applyAlignment="1">
      <alignment horizontal="center" vertical="center" wrapText="1"/>
    </xf>
    <xf numFmtId="0" fontId="17" fillId="45" borderId="18" xfId="0" applyFont="1" applyFill="1" applyBorder="1" applyAlignment="1">
      <alignment horizontal="center" vertical="center"/>
    </xf>
    <xf numFmtId="0" fontId="17" fillId="45" borderId="17" xfId="0" applyFont="1" applyFill="1" applyBorder="1" applyAlignment="1">
      <alignment horizontal="center" vertical="center" wrapText="1"/>
    </xf>
  </cellXfs>
  <cellStyles count="9">
    <cellStyle name="Hyperlink" xfId="6"/>
    <cellStyle name="Normal" xfId="0" builtinId="0"/>
    <cellStyle name="Normal 2" xfId="4"/>
    <cellStyle name="Normal 2 2" xfId="8"/>
    <cellStyle name="Normal 3" xfId="5"/>
    <cellStyle name="Normal 4" xfId="2"/>
    <cellStyle name="Normal 4 2" xfId="7"/>
    <cellStyle name="Normal 7" xfId="1"/>
    <cellStyle name="Vírgula 2" xfId="3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emf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emf"/><Relationship Id="rId6" Type="http://schemas.openxmlformats.org/officeDocument/2006/relationships/image" Target="../media/image6.png"/><Relationship Id="rId5" Type="http://schemas.openxmlformats.org/officeDocument/2006/relationships/image" Target="../media/image5.emf"/><Relationship Id="rId10" Type="http://schemas.openxmlformats.org/officeDocument/2006/relationships/image" Target="../media/image10.png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10</xdr:row>
      <xdr:rowOff>95250</xdr:rowOff>
    </xdr:from>
    <xdr:to>
      <xdr:col>10</xdr:col>
      <xdr:colOff>1166811</xdr:colOff>
      <xdr:row>26</xdr:row>
      <xdr:rowOff>71438</xdr:rowOff>
    </xdr:to>
    <xdr:pic>
      <xdr:nvPicPr>
        <xdr:cNvPr id="2" name="Imagem 1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2270125"/>
          <a:ext cx="11175999" cy="302418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23810</xdr:colOff>
      <xdr:row>27</xdr:row>
      <xdr:rowOff>15872</xdr:rowOff>
    </xdr:from>
    <xdr:to>
      <xdr:col>11</xdr:col>
      <xdr:colOff>39726</xdr:colOff>
      <xdr:row>32</xdr:row>
      <xdr:rowOff>87313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74623" y="5484810"/>
          <a:ext cx="11263353" cy="1023941"/>
        </a:xfrm>
        <a:prstGeom prst="rect">
          <a:avLst/>
        </a:prstGeom>
      </xdr:spPr>
    </xdr:pic>
    <xdr:clientData/>
  </xdr:twoCellAnchor>
  <xdr:twoCellAnchor editAs="oneCell">
    <xdr:from>
      <xdr:col>1</xdr:col>
      <xdr:colOff>190505</xdr:colOff>
      <xdr:row>65</xdr:row>
      <xdr:rowOff>166685</xdr:rowOff>
    </xdr:from>
    <xdr:to>
      <xdr:col>10</xdr:col>
      <xdr:colOff>754062</xdr:colOff>
      <xdr:row>69</xdr:row>
      <xdr:rowOff>150813</xdr:rowOff>
    </xdr:to>
    <xdr:pic>
      <xdr:nvPicPr>
        <xdr:cNvPr id="5" name="Imagem 4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318" y="12961935"/>
          <a:ext cx="10564807" cy="74612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238125</xdr:colOff>
      <xdr:row>70</xdr:row>
      <xdr:rowOff>103185</xdr:rowOff>
    </xdr:from>
    <xdr:to>
      <xdr:col>10</xdr:col>
      <xdr:colOff>787489</xdr:colOff>
      <xdr:row>73</xdr:row>
      <xdr:rowOff>158748</xdr:rowOff>
    </xdr:to>
    <xdr:pic>
      <xdr:nvPicPr>
        <xdr:cNvPr id="6" name="Imagem 5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135" b="12990"/>
        <a:stretch/>
      </xdr:blipFill>
      <xdr:spPr bwMode="auto">
        <a:xfrm>
          <a:off x="4103688" y="13850935"/>
          <a:ext cx="6835864" cy="627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82</xdr:row>
      <xdr:rowOff>0</xdr:rowOff>
    </xdr:from>
    <xdr:to>
      <xdr:col>10</xdr:col>
      <xdr:colOff>1079500</xdr:colOff>
      <xdr:row>86</xdr:row>
      <xdr:rowOff>182562</xdr:rowOff>
    </xdr:to>
    <xdr:pic>
      <xdr:nvPicPr>
        <xdr:cNvPr id="7" name="Imagem 6"/>
        <xdr:cNvPicPr/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13" y="16041688"/>
          <a:ext cx="11080750" cy="94456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107</xdr:row>
      <xdr:rowOff>174624</xdr:rowOff>
    </xdr:from>
    <xdr:to>
      <xdr:col>7</xdr:col>
      <xdr:colOff>743504</xdr:colOff>
      <xdr:row>112</xdr:row>
      <xdr:rowOff>166690</xdr:rowOff>
    </xdr:to>
    <xdr:pic>
      <xdr:nvPicPr>
        <xdr:cNvPr id="9" name="Imagem 8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50813" y="20986749"/>
          <a:ext cx="7601504" cy="944566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137</xdr:row>
      <xdr:rowOff>0</xdr:rowOff>
    </xdr:from>
    <xdr:to>
      <xdr:col>5</xdr:col>
      <xdr:colOff>897623</xdr:colOff>
      <xdr:row>141</xdr:row>
      <xdr:rowOff>71437</xdr:rowOff>
    </xdr:to>
    <xdr:pic>
      <xdr:nvPicPr>
        <xdr:cNvPr id="11" name="Imagem 10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50813" y="26614438"/>
          <a:ext cx="5660123" cy="833437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153</xdr:row>
      <xdr:rowOff>0</xdr:rowOff>
    </xdr:from>
    <xdr:to>
      <xdr:col>10</xdr:col>
      <xdr:colOff>1198562</xdr:colOff>
      <xdr:row>156</xdr:row>
      <xdr:rowOff>63500</xdr:rowOff>
    </xdr:to>
    <xdr:pic>
      <xdr:nvPicPr>
        <xdr:cNvPr id="13" name="Imagem 12"/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50813" y="29337000"/>
          <a:ext cx="11199812" cy="635000"/>
        </a:xfrm>
        <a:prstGeom prst="rect">
          <a:avLst/>
        </a:prstGeom>
      </xdr:spPr>
    </xdr:pic>
    <xdr:clientData/>
  </xdr:twoCellAnchor>
  <xdr:twoCellAnchor editAs="oneCell">
    <xdr:from>
      <xdr:col>0</xdr:col>
      <xdr:colOff>150812</xdr:colOff>
      <xdr:row>157</xdr:row>
      <xdr:rowOff>0</xdr:rowOff>
    </xdr:from>
    <xdr:to>
      <xdr:col>10</xdr:col>
      <xdr:colOff>1182686</xdr:colOff>
      <xdr:row>161</xdr:row>
      <xdr:rowOff>71438</xdr:rowOff>
    </xdr:to>
    <xdr:pic>
      <xdr:nvPicPr>
        <xdr:cNvPr id="14" name="Imagem 13"/>
        <xdr:cNvPicPr/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812" y="30480000"/>
          <a:ext cx="11183937" cy="83343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174</xdr:row>
      <xdr:rowOff>190499</xdr:rowOff>
    </xdr:from>
    <xdr:to>
      <xdr:col>10</xdr:col>
      <xdr:colOff>1184824</xdr:colOff>
      <xdr:row>178</xdr:row>
      <xdr:rowOff>39686</xdr:rowOff>
    </xdr:to>
    <xdr:pic>
      <xdr:nvPicPr>
        <xdr:cNvPr id="16" name="Imagem 15"/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50813" y="33964562"/>
          <a:ext cx="11186074" cy="61118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se.rios\Desktop\PLANOS%202017_CCH\CAMPUS%20CHAPEC&#211;_Planos%20de%20A&#231;&#227;o%202018-PROPLAN%202111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ores Diárias"/>
      <sheetName val="CCH001"/>
      <sheetName val="Planilha4"/>
      <sheetName val="CCH002"/>
      <sheetName val="CCH003"/>
      <sheetName val="CCH004"/>
      <sheetName val="CCH005"/>
      <sheetName val="CCH006"/>
      <sheetName val="CCH007"/>
      <sheetName val="CCH009"/>
      <sheetName val="RESUMO CCH"/>
      <sheetName val="Valores_Diárias"/>
      <sheetName val="RESUMO_CCH"/>
      <sheetName val="Valores_Diárias1"/>
      <sheetName val="RESUMO_CCH1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AJ159"/>
  <sheetViews>
    <sheetView topLeftCell="A91" zoomScale="80" zoomScaleNormal="80" workbookViewId="0">
      <selection activeCell="A102" sqref="A102"/>
    </sheetView>
  </sheetViews>
  <sheetFormatPr defaultRowHeight="18" customHeight="1" x14ac:dyDescent="0.25"/>
  <cols>
    <col min="1" max="1" width="5.85546875" style="18" customWidth="1"/>
    <col min="2" max="2" width="8.28515625" style="18" customWidth="1"/>
    <col min="3" max="3" width="32.85546875" style="18" customWidth="1"/>
    <col min="4" max="4" width="16.140625" style="18" customWidth="1"/>
    <col min="5" max="5" width="12.140625" style="18" customWidth="1"/>
    <col min="6" max="6" width="14.28515625" style="18" customWidth="1"/>
    <col min="7" max="7" width="20.28515625" style="18" customWidth="1"/>
    <col min="8" max="8" width="18.5703125" style="18" customWidth="1"/>
    <col min="9" max="9" width="17.7109375" style="18" customWidth="1"/>
    <col min="10" max="10" width="15" style="18" customWidth="1"/>
    <col min="11" max="11" width="16.42578125" style="18" customWidth="1"/>
    <col min="12" max="12" width="13.85546875" style="18" customWidth="1"/>
    <col min="13" max="13" width="7.85546875" style="18" customWidth="1"/>
    <col min="14" max="14" width="33.28515625" style="18" customWidth="1"/>
    <col min="15" max="15" width="38.7109375" style="18" customWidth="1"/>
    <col min="16" max="44" width="12.7109375" style="18" customWidth="1"/>
    <col min="45" max="16384" width="9.140625" style="18"/>
  </cols>
  <sheetData>
    <row r="2" spans="3:36" ht="18" customHeight="1" thickBot="1" x14ac:dyDescent="0.3">
      <c r="C2" s="402" t="s">
        <v>0</v>
      </c>
      <c r="G2" s="42" t="s">
        <v>1</v>
      </c>
      <c r="H2" s="1">
        <v>0.3</v>
      </c>
      <c r="I2" s="43" t="s">
        <v>2</v>
      </c>
      <c r="J2" s="1">
        <v>0.3</v>
      </c>
      <c r="K2" s="2" t="s">
        <v>3</v>
      </c>
      <c r="N2" s="198" t="s">
        <v>473</v>
      </c>
      <c r="O2" s="198" t="s">
        <v>474</v>
      </c>
      <c r="P2" s="198" t="s">
        <v>475</v>
      </c>
      <c r="Q2" s="198" t="s">
        <v>476</v>
      </c>
      <c r="R2" s="198" t="s">
        <v>477</v>
      </c>
      <c r="S2" s="198" t="s">
        <v>478</v>
      </c>
      <c r="T2" s="198" t="s">
        <v>479</v>
      </c>
      <c r="U2" s="198" t="s">
        <v>480</v>
      </c>
      <c r="V2" s="198" t="s">
        <v>481</v>
      </c>
      <c r="W2" s="198" t="s">
        <v>343</v>
      </c>
      <c r="X2" s="198" t="s">
        <v>344</v>
      </c>
      <c r="Y2" s="198" t="s">
        <v>345</v>
      </c>
      <c r="Z2" s="198" t="s">
        <v>346</v>
      </c>
      <c r="AA2" s="198" t="s">
        <v>364</v>
      </c>
      <c r="AB2" s="198" t="s">
        <v>482</v>
      </c>
      <c r="AC2" s="198" t="s">
        <v>483</v>
      </c>
      <c r="AD2" s="198" t="s">
        <v>484</v>
      </c>
      <c r="AE2" s="198" t="s">
        <v>485</v>
      </c>
      <c r="AF2" s="198" t="s">
        <v>486</v>
      </c>
      <c r="AG2" s="198" t="s">
        <v>394</v>
      </c>
      <c r="AH2" s="198" t="s">
        <v>487</v>
      </c>
      <c r="AI2" s="198" t="s">
        <v>488</v>
      </c>
      <c r="AJ2" s="198" t="s">
        <v>489</v>
      </c>
    </row>
    <row r="3" spans="3:36" ht="18" customHeight="1" thickBot="1" x14ac:dyDescent="0.3">
      <c r="C3" s="403"/>
      <c r="D3" s="3"/>
      <c r="E3" s="3"/>
      <c r="F3" s="3"/>
      <c r="G3" s="4" t="s">
        <v>5</v>
      </c>
      <c r="H3" s="4" t="s">
        <v>6</v>
      </c>
      <c r="I3" s="5" t="s">
        <v>5</v>
      </c>
      <c r="J3" s="6" t="s">
        <v>6</v>
      </c>
      <c r="K3" s="2" t="s">
        <v>7</v>
      </c>
      <c r="N3" s="41">
        <v>1</v>
      </c>
      <c r="O3" s="41">
        <v>2</v>
      </c>
      <c r="P3" s="41">
        <v>3</v>
      </c>
      <c r="Q3" s="41">
        <v>4</v>
      </c>
      <c r="R3" s="41">
        <v>5</v>
      </c>
      <c r="S3" s="41">
        <v>6</v>
      </c>
      <c r="T3" s="41">
        <v>7</v>
      </c>
      <c r="U3" s="41">
        <v>8</v>
      </c>
      <c r="V3" s="41">
        <v>9</v>
      </c>
      <c r="W3" s="41">
        <v>10</v>
      </c>
      <c r="X3" s="41">
        <v>11</v>
      </c>
      <c r="Y3" s="41">
        <v>12</v>
      </c>
      <c r="Z3" s="41">
        <v>13</v>
      </c>
      <c r="AA3" s="41">
        <v>14</v>
      </c>
      <c r="AB3" s="41">
        <v>15</v>
      </c>
      <c r="AC3" s="41">
        <v>16</v>
      </c>
      <c r="AD3" s="41">
        <v>17</v>
      </c>
      <c r="AE3" s="41">
        <v>18</v>
      </c>
      <c r="AF3" s="41">
        <v>19</v>
      </c>
      <c r="AG3" s="41">
        <v>20</v>
      </c>
      <c r="AH3" s="41">
        <v>21</v>
      </c>
      <c r="AI3" s="41">
        <v>22</v>
      </c>
      <c r="AJ3" s="41">
        <v>23</v>
      </c>
    </row>
    <row r="4" spans="3:36" ht="18" customHeight="1" thickBot="1" x14ac:dyDescent="0.3">
      <c r="C4" s="7">
        <v>1</v>
      </c>
      <c r="D4" s="8">
        <v>2</v>
      </c>
      <c r="E4" s="8">
        <v>3</v>
      </c>
      <c r="F4" s="8">
        <v>4</v>
      </c>
      <c r="O4" s="152"/>
      <c r="P4" s="441" t="s">
        <v>347</v>
      </c>
      <c r="Q4" s="441"/>
      <c r="R4" s="441"/>
      <c r="S4" s="441"/>
      <c r="T4" s="441"/>
      <c r="U4" s="441"/>
      <c r="V4" s="441"/>
      <c r="W4" s="441"/>
      <c r="X4" s="441"/>
      <c r="Y4" s="441"/>
      <c r="Z4" s="436" t="s">
        <v>348</v>
      </c>
      <c r="AA4" s="436"/>
      <c r="AB4" s="436"/>
      <c r="AC4" s="436"/>
      <c r="AD4" s="436"/>
      <c r="AE4" s="436"/>
      <c r="AF4" s="436"/>
      <c r="AG4" s="436"/>
      <c r="AH4" s="436"/>
      <c r="AI4" s="436"/>
      <c r="AJ4" s="37" t="s">
        <v>517</v>
      </c>
    </row>
    <row r="5" spans="3:36" ht="18" customHeight="1" x14ac:dyDescent="0.2">
      <c r="C5" s="91"/>
      <c r="D5" s="92"/>
      <c r="E5" s="92"/>
      <c r="F5" s="92"/>
      <c r="O5" s="152"/>
      <c r="P5" s="437">
        <v>2017</v>
      </c>
      <c r="Q5" s="437"/>
      <c r="R5" s="438">
        <v>2018</v>
      </c>
      <c r="S5" s="438"/>
      <c r="T5" s="439">
        <v>2019</v>
      </c>
      <c r="U5" s="439"/>
      <c r="V5" s="440">
        <v>2022</v>
      </c>
      <c r="W5" s="440"/>
      <c r="X5" s="437">
        <v>2023</v>
      </c>
      <c r="Y5" s="437"/>
      <c r="Z5" s="437">
        <v>2017</v>
      </c>
      <c r="AA5" s="437"/>
      <c r="AB5" s="438">
        <v>2018</v>
      </c>
      <c r="AC5" s="438"/>
      <c r="AD5" s="439">
        <v>2019</v>
      </c>
      <c r="AE5" s="439"/>
      <c r="AF5" s="440">
        <v>2022</v>
      </c>
      <c r="AG5" s="440"/>
      <c r="AH5" s="440">
        <v>2023</v>
      </c>
      <c r="AI5" s="440"/>
      <c r="AJ5" s="199">
        <v>2024</v>
      </c>
    </row>
    <row r="6" spans="3:36" ht="18" customHeight="1" thickBot="1" x14ac:dyDescent="0.3">
      <c r="C6" s="91"/>
      <c r="D6" s="92"/>
      <c r="E6" s="92"/>
      <c r="F6" s="92"/>
      <c r="O6" s="153"/>
      <c r="P6" s="154" t="s">
        <v>256</v>
      </c>
      <c r="Q6" s="155" t="s">
        <v>349</v>
      </c>
      <c r="R6" s="154" t="s">
        <v>256</v>
      </c>
      <c r="S6" s="155" t="s">
        <v>349</v>
      </c>
      <c r="T6" s="154" t="s">
        <v>256</v>
      </c>
      <c r="U6" s="155" t="s">
        <v>349</v>
      </c>
      <c r="V6" s="156" t="s">
        <v>256</v>
      </c>
      <c r="W6" s="155" t="s">
        <v>349</v>
      </c>
      <c r="X6" s="154" t="s">
        <v>256</v>
      </c>
      <c r="Y6" s="155" t="s">
        <v>349</v>
      </c>
      <c r="Z6" s="154" t="s">
        <v>256</v>
      </c>
      <c r="AA6" s="155" t="s">
        <v>349</v>
      </c>
      <c r="AB6" s="154" t="s">
        <v>256</v>
      </c>
      <c r="AC6" s="155" t="s">
        <v>349</v>
      </c>
      <c r="AD6" s="154" t="s">
        <v>256</v>
      </c>
      <c r="AE6" s="155" t="s">
        <v>349</v>
      </c>
      <c r="AF6" s="156" t="s">
        <v>256</v>
      </c>
      <c r="AG6" s="155" t="s">
        <v>349</v>
      </c>
      <c r="AH6" s="156" t="s">
        <v>256</v>
      </c>
      <c r="AI6" s="155" t="s">
        <v>349</v>
      </c>
      <c r="AJ6" s="199" t="s">
        <v>256</v>
      </c>
    </row>
    <row r="7" spans="3:36" ht="18" customHeight="1" x14ac:dyDescent="0.25">
      <c r="C7" s="94" t="s">
        <v>8</v>
      </c>
      <c r="D7" s="95" t="s">
        <v>9</v>
      </c>
      <c r="E7" s="95" t="s">
        <v>10</v>
      </c>
      <c r="F7" s="95" t="s">
        <v>11</v>
      </c>
      <c r="G7" s="93"/>
      <c r="H7" s="44"/>
      <c r="I7" s="45"/>
      <c r="J7" s="45"/>
      <c r="K7" s="46">
        <v>50000</v>
      </c>
      <c r="L7" s="18" t="s">
        <v>12</v>
      </c>
      <c r="N7" s="94" t="s">
        <v>85</v>
      </c>
      <c r="O7" s="157" t="s">
        <v>350</v>
      </c>
      <c r="P7" s="158">
        <v>5060</v>
      </c>
      <c r="Q7" s="158">
        <v>1200.81</v>
      </c>
      <c r="R7" s="158">
        <v>6000</v>
      </c>
      <c r="S7" s="158">
        <v>8647.91</v>
      </c>
      <c r="T7" s="158">
        <v>6000</v>
      </c>
      <c r="U7" s="158">
        <v>5249.92</v>
      </c>
      <c r="V7" s="159">
        <v>5000</v>
      </c>
      <c r="W7" s="159">
        <v>3348.32</v>
      </c>
      <c r="X7" s="160">
        <v>13460.64</v>
      </c>
      <c r="Y7" s="161">
        <v>20699.669999999995</v>
      </c>
      <c r="Z7" s="160">
        <v>6300</v>
      </c>
      <c r="AA7" s="161">
        <v>5204.58</v>
      </c>
      <c r="AB7" s="160">
        <v>7500</v>
      </c>
      <c r="AC7" s="161">
        <v>9905.4</v>
      </c>
      <c r="AD7" s="160">
        <v>9000</v>
      </c>
      <c r="AE7" s="161">
        <v>10674.38</v>
      </c>
      <c r="AF7" s="186">
        <v>7500</v>
      </c>
      <c r="AG7" s="187">
        <v>12714.67</v>
      </c>
      <c r="AH7" s="186">
        <v>10000</v>
      </c>
      <c r="AI7" s="187">
        <v>19666.78</v>
      </c>
      <c r="AJ7" s="191">
        <v>25000</v>
      </c>
    </row>
    <row r="8" spans="3:36" ht="18" customHeight="1" x14ac:dyDescent="0.25">
      <c r="C8" s="94" t="s">
        <v>19</v>
      </c>
      <c r="D8" s="95" t="s">
        <v>20</v>
      </c>
      <c r="E8" s="95" t="s">
        <v>21</v>
      </c>
      <c r="F8" s="95" t="s">
        <v>22</v>
      </c>
      <c r="G8" s="93"/>
      <c r="H8" s="44"/>
      <c r="I8" s="45"/>
      <c r="J8" s="45"/>
      <c r="K8" s="46"/>
      <c r="N8" s="94" t="s">
        <v>93</v>
      </c>
      <c r="O8" s="162" t="s">
        <v>351</v>
      </c>
      <c r="P8" s="158">
        <v>5060</v>
      </c>
      <c r="Q8" s="158">
        <v>0</v>
      </c>
      <c r="R8" s="158">
        <v>6000</v>
      </c>
      <c r="S8" s="158">
        <v>4437.45</v>
      </c>
      <c r="T8" s="158">
        <v>6000</v>
      </c>
      <c r="U8" s="158">
        <v>1520.16</v>
      </c>
      <c r="V8" s="159">
        <v>3500</v>
      </c>
      <c r="W8" s="159">
        <v>1759.62</v>
      </c>
      <c r="X8" s="160">
        <v>6500</v>
      </c>
      <c r="Y8" s="161">
        <v>120.53999999999999</v>
      </c>
      <c r="Z8" s="160">
        <v>11200</v>
      </c>
      <c r="AA8" s="161">
        <v>10480.959999999999</v>
      </c>
      <c r="AB8" s="160">
        <v>13000</v>
      </c>
      <c r="AC8" s="161">
        <v>25218.87</v>
      </c>
      <c r="AD8" s="160">
        <v>18000</v>
      </c>
      <c r="AE8" s="161">
        <v>27176.400000000001</v>
      </c>
      <c r="AF8" s="186">
        <v>15000</v>
      </c>
      <c r="AG8" s="187">
        <v>23413.05</v>
      </c>
      <c r="AH8" s="186">
        <v>20000</v>
      </c>
      <c r="AI8" s="187">
        <v>8163.45</v>
      </c>
      <c r="AJ8" s="191">
        <v>25000</v>
      </c>
    </row>
    <row r="9" spans="3:36" ht="18" customHeight="1" x14ac:dyDescent="0.25">
      <c r="C9" s="95" t="s">
        <v>26</v>
      </c>
      <c r="D9" s="95" t="s">
        <v>9</v>
      </c>
      <c r="E9" s="95" t="s">
        <v>27</v>
      </c>
      <c r="F9" s="95" t="s">
        <v>11</v>
      </c>
      <c r="G9" s="93"/>
      <c r="H9" s="44"/>
      <c r="I9" s="45"/>
      <c r="J9" s="45"/>
      <c r="K9" s="46"/>
      <c r="N9" s="94" t="s">
        <v>97</v>
      </c>
      <c r="O9" s="162" t="s">
        <v>352</v>
      </c>
      <c r="P9" s="158">
        <v>5060</v>
      </c>
      <c r="Q9" s="158">
        <v>2328.73</v>
      </c>
      <c r="R9" s="158">
        <v>6000</v>
      </c>
      <c r="S9" s="158">
        <v>2284.63</v>
      </c>
      <c r="T9" s="158">
        <v>6000</v>
      </c>
      <c r="U9" s="158">
        <v>4249.26</v>
      </c>
      <c r="V9" s="159">
        <v>5000</v>
      </c>
      <c r="W9" s="159">
        <v>1370.73</v>
      </c>
      <c r="X9" s="160">
        <v>6500</v>
      </c>
      <c r="Y9" s="161">
        <v>1083.9599999999998</v>
      </c>
      <c r="Z9" s="160">
        <v>4500</v>
      </c>
      <c r="AA9" s="161">
        <v>3886.74</v>
      </c>
      <c r="AB9" s="160">
        <v>7500</v>
      </c>
      <c r="AC9" s="161">
        <v>3595.5</v>
      </c>
      <c r="AD9" s="160">
        <v>9000</v>
      </c>
      <c r="AE9" s="161">
        <v>1422.72</v>
      </c>
      <c r="AF9" s="186">
        <v>9500</v>
      </c>
      <c r="AG9" s="187">
        <v>13757.95</v>
      </c>
      <c r="AH9" s="186">
        <v>10000</v>
      </c>
      <c r="AI9" s="187">
        <v>9097.61</v>
      </c>
      <c r="AJ9" s="193">
        <v>15000</v>
      </c>
    </row>
    <row r="10" spans="3:36" ht="18" customHeight="1" x14ac:dyDescent="0.25">
      <c r="C10" s="94" t="s">
        <v>31</v>
      </c>
      <c r="D10" s="95" t="s">
        <v>32</v>
      </c>
      <c r="E10" s="95" t="s">
        <v>33</v>
      </c>
      <c r="F10" s="95" t="s">
        <v>34</v>
      </c>
      <c r="G10" s="93"/>
      <c r="H10" s="44"/>
      <c r="I10" s="45"/>
      <c r="J10" s="45"/>
      <c r="K10" s="46">
        <v>50000</v>
      </c>
      <c r="L10" s="18" t="s">
        <v>35</v>
      </c>
      <c r="N10" s="94" t="s">
        <v>101</v>
      </c>
      <c r="O10" s="162" t="s">
        <v>353</v>
      </c>
      <c r="P10" s="158">
        <v>5060</v>
      </c>
      <c r="Q10" s="158">
        <v>5222.83</v>
      </c>
      <c r="R10" s="158">
        <v>6000</v>
      </c>
      <c r="S10" s="158">
        <v>11099.11</v>
      </c>
      <c r="T10" s="158">
        <v>6000</v>
      </c>
      <c r="U10" s="158">
        <v>5761.77</v>
      </c>
      <c r="V10" s="159">
        <v>5000</v>
      </c>
      <c r="W10" s="159">
        <v>2235</v>
      </c>
      <c r="X10" s="160">
        <v>6500</v>
      </c>
      <c r="Y10" s="161">
        <v>5977.17</v>
      </c>
      <c r="Z10" s="160">
        <v>6300</v>
      </c>
      <c r="AA10" s="161">
        <v>5466.86</v>
      </c>
      <c r="AB10" s="160">
        <v>7500</v>
      </c>
      <c r="AC10" s="161">
        <v>83.04</v>
      </c>
      <c r="AD10" s="160">
        <v>9000</v>
      </c>
      <c r="AE10" s="161">
        <v>999.36</v>
      </c>
      <c r="AF10" s="186">
        <v>7500</v>
      </c>
      <c r="AG10" s="187">
        <v>3884.85</v>
      </c>
      <c r="AH10" s="186">
        <v>10000</v>
      </c>
      <c r="AI10" s="187">
        <v>1718.76</v>
      </c>
      <c r="AJ10" s="193">
        <v>15000</v>
      </c>
    </row>
    <row r="11" spans="3:36" ht="18" customHeight="1" x14ac:dyDescent="0.25">
      <c r="C11" s="94" t="s">
        <v>39</v>
      </c>
      <c r="D11" s="95" t="s">
        <v>32</v>
      </c>
      <c r="E11" s="95" t="s">
        <v>40</v>
      </c>
      <c r="F11" s="95" t="s">
        <v>34</v>
      </c>
      <c r="G11" s="93"/>
      <c r="H11" s="44"/>
      <c r="I11" s="45"/>
      <c r="J11" s="45"/>
      <c r="K11" s="46"/>
      <c r="N11" s="94" t="s">
        <v>104</v>
      </c>
      <c r="O11" s="162" t="s">
        <v>354</v>
      </c>
      <c r="P11" s="158">
        <v>5060</v>
      </c>
      <c r="Q11" s="158">
        <v>6238.1</v>
      </c>
      <c r="R11" s="158">
        <v>6000</v>
      </c>
      <c r="S11" s="158">
        <v>5973.48</v>
      </c>
      <c r="T11" s="158">
        <v>6000</v>
      </c>
      <c r="U11" s="158">
        <v>5185.38</v>
      </c>
      <c r="V11" s="159">
        <v>5000</v>
      </c>
      <c r="W11" s="159">
        <v>5462.02</v>
      </c>
      <c r="X11" s="160">
        <v>6500</v>
      </c>
      <c r="Y11" s="161">
        <v>10387.67</v>
      </c>
      <c r="Z11" s="160">
        <v>7700</v>
      </c>
      <c r="AA11" s="161">
        <v>6464.76</v>
      </c>
      <c r="AB11" s="160">
        <v>8000</v>
      </c>
      <c r="AC11" s="161">
        <v>5322.95</v>
      </c>
      <c r="AD11" s="160">
        <v>10000</v>
      </c>
      <c r="AE11" s="161">
        <v>9014.67</v>
      </c>
      <c r="AF11" s="186">
        <v>5700</v>
      </c>
      <c r="AG11" s="187">
        <v>6465.29</v>
      </c>
      <c r="AH11" s="186">
        <v>12000</v>
      </c>
      <c r="AI11" s="187">
        <v>12486.6</v>
      </c>
      <c r="AJ11" s="194">
        <v>18000</v>
      </c>
    </row>
    <row r="12" spans="3:36" ht="18" customHeight="1" x14ac:dyDescent="0.25">
      <c r="C12" s="94" t="s">
        <v>46</v>
      </c>
      <c r="D12" s="95" t="s">
        <v>32</v>
      </c>
      <c r="E12" s="95" t="s">
        <v>47</v>
      </c>
      <c r="F12" s="95" t="s">
        <v>34</v>
      </c>
      <c r="G12" s="93"/>
      <c r="H12" s="44"/>
      <c r="I12" s="45"/>
      <c r="J12" s="45"/>
      <c r="K12" s="46"/>
      <c r="N12" s="94" t="s">
        <v>108</v>
      </c>
      <c r="O12" s="162" t="s">
        <v>355</v>
      </c>
      <c r="P12" s="158">
        <v>5060</v>
      </c>
      <c r="Q12" s="158">
        <v>2885.26</v>
      </c>
      <c r="R12" s="158">
        <v>6000</v>
      </c>
      <c r="S12" s="158">
        <v>3216.39</v>
      </c>
      <c r="T12" s="158">
        <v>6000</v>
      </c>
      <c r="U12" s="158">
        <v>2432.8200000000002</v>
      </c>
      <c r="V12" s="159">
        <v>5000</v>
      </c>
      <c r="W12" s="159">
        <v>1958.45</v>
      </c>
      <c r="X12" s="160">
        <v>6500</v>
      </c>
      <c r="Y12" s="161">
        <v>2755.12</v>
      </c>
      <c r="Z12" s="160">
        <v>6300</v>
      </c>
      <c r="AA12" s="161">
        <v>8590.82</v>
      </c>
      <c r="AB12" s="160">
        <v>7500</v>
      </c>
      <c r="AC12" s="161">
        <v>7527.91</v>
      </c>
      <c r="AD12" s="160">
        <v>9000</v>
      </c>
      <c r="AE12" s="161">
        <v>15511.27</v>
      </c>
      <c r="AF12" s="186">
        <v>7500</v>
      </c>
      <c r="AG12" s="187">
        <v>6088.17</v>
      </c>
      <c r="AH12" s="186">
        <v>10000</v>
      </c>
      <c r="AI12" s="187">
        <v>4760.1499999999996</v>
      </c>
      <c r="AJ12" s="194">
        <v>18000</v>
      </c>
    </row>
    <row r="13" spans="3:36" ht="18" customHeight="1" x14ac:dyDescent="0.25">
      <c r="C13" s="94" t="s">
        <v>50</v>
      </c>
      <c r="D13" s="95" t="s">
        <v>32</v>
      </c>
      <c r="E13" s="95" t="s">
        <v>51</v>
      </c>
      <c r="F13" s="95" t="s">
        <v>34</v>
      </c>
      <c r="G13" s="93"/>
      <c r="H13" s="44"/>
      <c r="I13" s="45"/>
      <c r="J13" s="45"/>
      <c r="K13" s="46">
        <v>50000</v>
      </c>
      <c r="L13" s="18" t="s">
        <v>35</v>
      </c>
      <c r="N13" s="94" t="s">
        <v>113</v>
      </c>
      <c r="O13" s="162" t="s">
        <v>356</v>
      </c>
      <c r="P13" s="158">
        <v>5060</v>
      </c>
      <c r="Q13" s="158">
        <v>4161.8100000000004</v>
      </c>
      <c r="R13" s="158">
        <v>6000</v>
      </c>
      <c r="S13" s="158">
        <v>3781.13</v>
      </c>
      <c r="T13" s="158">
        <v>6000</v>
      </c>
      <c r="U13" s="158">
        <v>12515.63</v>
      </c>
      <c r="V13" s="159">
        <f>5000+7500</f>
        <v>12500</v>
      </c>
      <c r="W13" s="159">
        <v>11375.88</v>
      </c>
      <c r="X13" s="160">
        <v>6500</v>
      </c>
      <c r="Y13" s="161">
        <v>4234.6900000000005</v>
      </c>
      <c r="Z13" s="160">
        <v>6300</v>
      </c>
      <c r="AA13" s="161">
        <v>686.4</v>
      </c>
      <c r="AB13" s="160">
        <v>7500</v>
      </c>
      <c r="AC13" s="161">
        <v>2386.8000000000002</v>
      </c>
      <c r="AD13" s="160">
        <v>9000</v>
      </c>
      <c r="AE13" s="161">
        <v>3882.46</v>
      </c>
      <c r="AF13" s="186">
        <v>0</v>
      </c>
      <c r="AG13" s="187">
        <v>0</v>
      </c>
      <c r="AH13" s="186">
        <v>10000</v>
      </c>
      <c r="AI13" s="187">
        <v>0</v>
      </c>
      <c r="AJ13" s="193">
        <v>15000</v>
      </c>
    </row>
    <row r="14" spans="3:36" ht="18" customHeight="1" x14ac:dyDescent="0.25">
      <c r="C14" s="94" t="s">
        <v>55</v>
      </c>
      <c r="D14" s="95" t="s">
        <v>32</v>
      </c>
      <c r="E14" s="95" t="s">
        <v>56</v>
      </c>
      <c r="F14" s="95" t="s">
        <v>34</v>
      </c>
      <c r="G14" s="93"/>
      <c r="H14" s="44"/>
      <c r="I14" s="45"/>
      <c r="J14" s="45"/>
      <c r="K14" s="46"/>
      <c r="N14" s="94" t="s">
        <v>117</v>
      </c>
      <c r="O14" s="162" t="s">
        <v>357</v>
      </c>
      <c r="P14" s="158">
        <v>5060</v>
      </c>
      <c r="Q14" s="158">
        <v>4919.62</v>
      </c>
      <c r="R14" s="158">
        <v>6000</v>
      </c>
      <c r="S14" s="158">
        <v>2901.02</v>
      </c>
      <c r="T14" s="158">
        <v>6000</v>
      </c>
      <c r="U14" s="158">
        <v>4350.3999999999996</v>
      </c>
      <c r="V14" s="159">
        <f>3300+2500</f>
        <v>5800</v>
      </c>
      <c r="W14" s="159">
        <v>2932.85</v>
      </c>
      <c r="X14" s="160">
        <v>6500</v>
      </c>
      <c r="Y14" s="161">
        <v>6145.5700000000006</v>
      </c>
      <c r="Z14" s="160">
        <v>15400</v>
      </c>
      <c r="AA14" s="161">
        <v>12973.48</v>
      </c>
      <c r="AB14" s="160">
        <v>15000</v>
      </c>
      <c r="AC14" s="161">
        <v>14238.73</v>
      </c>
      <c r="AD14" s="160">
        <v>18000</v>
      </c>
      <c r="AE14" s="161">
        <v>17958.2</v>
      </c>
      <c r="AF14" s="186">
        <v>15000</v>
      </c>
      <c r="AG14" s="187">
        <v>14389.29</v>
      </c>
      <c r="AH14" s="186">
        <v>20000</v>
      </c>
      <c r="AI14" s="187">
        <v>16316.8</v>
      </c>
      <c r="AJ14" s="191">
        <v>25000</v>
      </c>
    </row>
    <row r="15" spans="3:36" ht="18" customHeight="1" x14ac:dyDescent="0.25">
      <c r="C15" s="94" t="s">
        <v>60</v>
      </c>
      <c r="D15" s="95" t="s">
        <v>9</v>
      </c>
      <c r="E15" s="95" t="s">
        <v>61</v>
      </c>
      <c r="F15" s="95" t="s">
        <v>11</v>
      </c>
      <c r="G15" s="93"/>
      <c r="H15" s="44"/>
      <c r="I15" s="45"/>
      <c r="J15" s="45"/>
      <c r="K15" s="46"/>
      <c r="N15" s="94" t="s">
        <v>121</v>
      </c>
      <c r="O15" s="162" t="s">
        <v>358</v>
      </c>
      <c r="P15" s="158">
        <v>5060</v>
      </c>
      <c r="Q15" s="158">
        <v>4368.5600000000004</v>
      </c>
      <c r="R15" s="158">
        <v>6000</v>
      </c>
      <c r="S15" s="158">
        <v>2070.15</v>
      </c>
      <c r="T15" s="158">
        <v>6000</v>
      </c>
      <c r="U15" s="158">
        <v>3408.21</v>
      </c>
      <c r="V15" s="159">
        <f>5000-3200</f>
        <v>1800</v>
      </c>
      <c r="W15" s="159">
        <v>7790.27</v>
      </c>
      <c r="X15" s="160">
        <v>6500</v>
      </c>
      <c r="Y15" s="161">
        <v>6004.4400000000005</v>
      </c>
      <c r="Z15" s="160">
        <v>6300</v>
      </c>
      <c r="AA15" s="161">
        <v>8815.08</v>
      </c>
      <c r="AB15" s="160">
        <v>9000</v>
      </c>
      <c r="AC15" s="161">
        <v>10933.3</v>
      </c>
      <c r="AD15" s="160">
        <v>11000</v>
      </c>
      <c r="AE15" s="161">
        <v>10313.959999999999</v>
      </c>
      <c r="AF15" s="186">
        <v>9000</v>
      </c>
      <c r="AG15" s="187">
        <v>15142.33</v>
      </c>
      <c r="AH15" s="186">
        <v>12000</v>
      </c>
      <c r="AI15" s="187">
        <v>13589.02</v>
      </c>
      <c r="AJ15" s="194">
        <v>18000</v>
      </c>
    </row>
    <row r="16" spans="3:36" ht="18" customHeight="1" x14ac:dyDescent="0.25">
      <c r="C16" s="95" t="s">
        <v>65</v>
      </c>
      <c r="D16" s="95" t="s">
        <v>9</v>
      </c>
      <c r="E16" s="95" t="s">
        <v>65</v>
      </c>
      <c r="F16" s="95" t="s">
        <v>11</v>
      </c>
      <c r="G16" s="93"/>
      <c r="H16" s="44"/>
      <c r="I16" s="45"/>
      <c r="J16" s="45"/>
      <c r="K16" s="46"/>
      <c r="N16" s="94" t="s">
        <v>125</v>
      </c>
      <c r="O16" s="162" t="s">
        <v>359</v>
      </c>
      <c r="P16" s="158">
        <v>5060</v>
      </c>
      <c r="Q16" s="158">
        <v>4011.94</v>
      </c>
      <c r="R16" s="158">
        <v>6000</v>
      </c>
      <c r="S16" s="158">
        <v>5388.64</v>
      </c>
      <c r="T16" s="158">
        <v>6000</v>
      </c>
      <c r="U16" s="158">
        <v>6308.9</v>
      </c>
      <c r="V16" s="159">
        <v>5000</v>
      </c>
      <c r="W16" s="159">
        <v>5288.07</v>
      </c>
      <c r="X16" s="160">
        <v>6500</v>
      </c>
      <c r="Y16" s="161">
        <v>7014.3099999999995</v>
      </c>
      <c r="Z16" s="160">
        <v>6300</v>
      </c>
      <c r="AA16" s="161">
        <v>2500.2800000000002</v>
      </c>
      <c r="AB16" s="160">
        <v>7500</v>
      </c>
      <c r="AC16" s="161">
        <v>6648.43</v>
      </c>
      <c r="AD16" s="160">
        <v>9000</v>
      </c>
      <c r="AE16" s="161">
        <v>443.04</v>
      </c>
      <c r="AF16" s="186">
        <v>7500</v>
      </c>
      <c r="AG16" s="187">
        <v>3328.65</v>
      </c>
      <c r="AH16" s="186">
        <v>10000</v>
      </c>
      <c r="AI16" s="187">
        <v>8194.51</v>
      </c>
      <c r="AJ16" s="194">
        <v>18000</v>
      </c>
    </row>
    <row r="17" spans="3:36" ht="18" customHeight="1" x14ac:dyDescent="0.25">
      <c r="C17" s="94" t="s">
        <v>69</v>
      </c>
      <c r="D17" s="95" t="s">
        <v>9</v>
      </c>
      <c r="E17" s="95" t="s">
        <v>70</v>
      </c>
      <c r="F17" s="95" t="s">
        <v>11</v>
      </c>
      <c r="G17" s="93"/>
      <c r="H17" s="44"/>
      <c r="I17" s="45"/>
      <c r="J17" s="45"/>
      <c r="K17" s="46"/>
      <c r="N17" s="94" t="s">
        <v>129</v>
      </c>
      <c r="O17" s="162" t="s">
        <v>360</v>
      </c>
      <c r="P17" s="158">
        <v>5060</v>
      </c>
      <c r="Q17" s="158">
        <v>4502.09</v>
      </c>
      <c r="R17" s="158">
        <v>6000</v>
      </c>
      <c r="S17" s="158">
        <v>1421.22</v>
      </c>
      <c r="T17" s="158">
        <v>6000</v>
      </c>
      <c r="U17" s="158">
        <v>4193.72</v>
      </c>
      <c r="V17" s="159">
        <f>5000-2500</f>
        <v>2500</v>
      </c>
      <c r="W17" s="159">
        <v>731.43</v>
      </c>
      <c r="X17" s="160">
        <v>6500</v>
      </c>
      <c r="Y17" s="161">
        <v>10896</v>
      </c>
      <c r="Z17" s="160">
        <v>6300</v>
      </c>
      <c r="AA17" s="161">
        <v>2633.88</v>
      </c>
      <c r="AB17" s="160">
        <v>7500</v>
      </c>
      <c r="AC17" s="161">
        <v>4510.22</v>
      </c>
      <c r="AD17" s="160">
        <v>9000</v>
      </c>
      <c r="AE17" s="161">
        <v>1931.28</v>
      </c>
      <c r="AF17" s="186">
        <v>7500</v>
      </c>
      <c r="AG17" s="187">
        <v>4201.09</v>
      </c>
      <c r="AH17" s="186">
        <v>10000</v>
      </c>
      <c r="AI17" s="187">
        <v>0</v>
      </c>
      <c r="AJ17" s="193">
        <v>15000</v>
      </c>
    </row>
    <row r="18" spans="3:36" ht="18" customHeight="1" x14ac:dyDescent="0.25">
      <c r="C18" s="94" t="s">
        <v>74</v>
      </c>
      <c r="D18" s="95" t="s">
        <v>32</v>
      </c>
      <c r="E18" s="95" t="s">
        <v>75</v>
      </c>
      <c r="F18" s="95" t="s">
        <v>34</v>
      </c>
      <c r="G18" s="93"/>
      <c r="H18" s="44"/>
      <c r="I18" s="45"/>
      <c r="J18" s="45"/>
      <c r="K18" s="46"/>
      <c r="N18" s="94" t="s">
        <v>132</v>
      </c>
      <c r="O18" s="162" t="s">
        <v>361</v>
      </c>
      <c r="P18" s="158">
        <v>5060</v>
      </c>
      <c r="Q18" s="158">
        <v>4450.53</v>
      </c>
      <c r="R18" s="158">
        <v>6000</v>
      </c>
      <c r="S18" s="158">
        <v>0</v>
      </c>
      <c r="T18" s="158">
        <v>6000</v>
      </c>
      <c r="U18" s="158">
        <v>3470.7</v>
      </c>
      <c r="V18" s="159">
        <v>1100</v>
      </c>
      <c r="W18" s="159">
        <v>0</v>
      </c>
      <c r="X18" s="160">
        <v>1000</v>
      </c>
      <c r="Y18" s="161">
        <v>0</v>
      </c>
      <c r="Z18" s="160">
        <v>6300</v>
      </c>
      <c r="AA18" s="161">
        <v>4920.24</v>
      </c>
      <c r="AB18" s="160">
        <v>7500</v>
      </c>
      <c r="AC18" s="161">
        <v>6042.77</v>
      </c>
      <c r="AD18" s="160">
        <v>9000</v>
      </c>
      <c r="AE18" s="161">
        <v>12943.76</v>
      </c>
      <c r="AF18" s="186">
        <v>7500</v>
      </c>
      <c r="AG18" s="187">
        <v>8291.93</v>
      </c>
      <c r="AH18" s="186">
        <v>4000</v>
      </c>
      <c r="AI18" s="187">
        <v>4070.79</v>
      </c>
      <c r="AJ18" s="193">
        <v>15000</v>
      </c>
    </row>
    <row r="19" spans="3:36" ht="18" customHeight="1" x14ac:dyDescent="0.25">
      <c r="C19" s="94" t="s">
        <v>79</v>
      </c>
      <c r="D19" s="95" t="s">
        <v>9</v>
      </c>
      <c r="E19" s="95" t="s">
        <v>80</v>
      </c>
      <c r="F19" s="95" t="s">
        <v>11</v>
      </c>
      <c r="G19" s="93"/>
      <c r="H19" s="44"/>
      <c r="I19" s="45"/>
      <c r="J19" s="45"/>
      <c r="K19" s="46">
        <v>150000</v>
      </c>
      <c r="L19" s="18" t="s">
        <v>81</v>
      </c>
      <c r="N19" s="94" t="s">
        <v>137</v>
      </c>
      <c r="O19" s="163" t="s">
        <v>362</v>
      </c>
      <c r="P19" s="158">
        <v>5060</v>
      </c>
      <c r="Q19" s="158">
        <v>1405.62</v>
      </c>
      <c r="R19" s="158">
        <v>6000</v>
      </c>
      <c r="S19" s="158">
        <v>0</v>
      </c>
      <c r="T19" s="158">
        <v>6000</v>
      </c>
      <c r="U19" s="158">
        <v>840.24</v>
      </c>
      <c r="V19" s="159">
        <f>5000-2000</f>
        <v>3000</v>
      </c>
      <c r="W19" s="159">
        <v>728.31</v>
      </c>
      <c r="X19" s="160">
        <v>6500</v>
      </c>
      <c r="Y19" s="161">
        <v>5557.59</v>
      </c>
      <c r="Z19" s="160">
        <v>4500</v>
      </c>
      <c r="AA19" s="161">
        <v>5761.8</v>
      </c>
      <c r="AB19" s="160">
        <v>7500</v>
      </c>
      <c r="AC19" s="161">
        <v>9399.14</v>
      </c>
      <c r="AD19" s="160">
        <v>9000</v>
      </c>
      <c r="AE19" s="161">
        <v>4528.26</v>
      </c>
      <c r="AF19" s="186">
        <v>13500</v>
      </c>
      <c r="AG19" s="187">
        <v>16749.41</v>
      </c>
      <c r="AH19" s="186">
        <v>10000</v>
      </c>
      <c r="AI19" s="187">
        <v>15342.63</v>
      </c>
      <c r="AJ19" s="194">
        <v>18000</v>
      </c>
    </row>
    <row r="20" spans="3:36" ht="18" customHeight="1" x14ac:dyDescent="0.25">
      <c r="C20" s="96" t="s">
        <v>390</v>
      </c>
      <c r="D20" s="97" t="s">
        <v>9</v>
      </c>
      <c r="E20" s="97" t="s">
        <v>391</v>
      </c>
      <c r="F20" s="97" t="s">
        <v>11</v>
      </c>
      <c r="G20" s="93"/>
      <c r="H20" s="44"/>
      <c r="I20" s="45"/>
      <c r="J20" s="45"/>
      <c r="K20" s="46"/>
      <c r="N20" s="95" t="s">
        <v>165</v>
      </c>
      <c r="O20" s="167" t="s">
        <v>503</v>
      </c>
      <c r="P20" s="168"/>
      <c r="Q20" s="169"/>
      <c r="R20" s="168"/>
      <c r="S20" s="169"/>
      <c r="T20" s="168"/>
      <c r="U20" s="169"/>
      <c r="V20" s="159">
        <v>0</v>
      </c>
      <c r="W20" s="159">
        <v>0</v>
      </c>
      <c r="X20" s="168">
        <v>4000</v>
      </c>
      <c r="Y20" s="169">
        <v>2829.2300000000005</v>
      </c>
      <c r="Z20" s="168"/>
      <c r="AA20" s="169"/>
      <c r="AB20" s="168"/>
      <c r="AC20" s="169"/>
      <c r="AD20" s="168"/>
      <c r="AE20" s="169"/>
      <c r="AF20" s="159">
        <v>0</v>
      </c>
      <c r="AG20" s="159">
        <v>0</v>
      </c>
      <c r="AH20" s="159">
        <v>5000</v>
      </c>
      <c r="AI20" s="159">
        <v>1935.28</v>
      </c>
      <c r="AJ20" s="200">
        <v>9000</v>
      </c>
    </row>
    <row r="21" spans="3:36" ht="18" customHeight="1" x14ac:dyDescent="0.25">
      <c r="C21" s="94" t="s">
        <v>85</v>
      </c>
      <c r="D21" s="95" t="s">
        <v>86</v>
      </c>
      <c r="E21" s="95" t="s">
        <v>87</v>
      </c>
      <c r="F21" s="95" t="s">
        <v>88</v>
      </c>
      <c r="G21" s="93">
        <v>6500</v>
      </c>
      <c r="H21" s="44">
        <f>G21*(1+$H$2)</f>
        <v>8450</v>
      </c>
      <c r="I21" s="45">
        <v>10000</v>
      </c>
      <c r="J21" s="45">
        <f>I21*(1+$J$2)</f>
        <v>13000</v>
      </c>
      <c r="K21" s="46"/>
      <c r="N21" s="94" t="s">
        <v>170</v>
      </c>
      <c r="O21" s="162" t="s">
        <v>170</v>
      </c>
      <c r="P21" s="158">
        <v>2400</v>
      </c>
      <c r="Q21" s="158">
        <v>1048.48</v>
      </c>
      <c r="R21" s="158">
        <v>3000</v>
      </c>
      <c r="S21" s="158">
        <v>2863.03</v>
      </c>
      <c r="T21" s="158">
        <v>3000</v>
      </c>
      <c r="U21" s="158">
        <v>11546.35</v>
      </c>
      <c r="V21" s="170">
        <v>3000</v>
      </c>
      <c r="W21" s="159">
        <v>674.7</v>
      </c>
      <c r="X21" s="168">
        <v>4000</v>
      </c>
      <c r="Y21" s="169">
        <v>1174.5900000000001</v>
      </c>
      <c r="Z21" s="168">
        <v>11000</v>
      </c>
      <c r="AA21" s="169">
        <v>7520.55</v>
      </c>
      <c r="AB21" s="168">
        <v>7500</v>
      </c>
      <c r="AC21" s="169">
        <v>5915.53</v>
      </c>
      <c r="AD21" s="168">
        <v>9000</v>
      </c>
      <c r="AE21" s="169">
        <v>29740.39</v>
      </c>
      <c r="AF21" s="186">
        <v>3800</v>
      </c>
      <c r="AG21" s="187">
        <v>259.76</v>
      </c>
      <c r="AH21" s="186">
        <v>5000</v>
      </c>
      <c r="AI21" s="187">
        <v>3422.6</v>
      </c>
      <c r="AJ21" s="200">
        <v>9000</v>
      </c>
    </row>
    <row r="22" spans="3:36" ht="18" customHeight="1" x14ac:dyDescent="0.25">
      <c r="C22" s="94" t="s">
        <v>93</v>
      </c>
      <c r="D22" s="95" t="s">
        <v>86</v>
      </c>
      <c r="E22" s="95" t="s">
        <v>94</v>
      </c>
      <c r="F22" s="95" t="s">
        <v>88</v>
      </c>
      <c r="G22" s="93">
        <v>6500</v>
      </c>
      <c r="H22" s="44">
        <f t="shared" ref="H22:H33" si="0">G22*(1+$H$2)</f>
        <v>8450</v>
      </c>
      <c r="I22" s="45">
        <v>20000</v>
      </c>
      <c r="J22" s="45">
        <f t="shared" ref="J22:J33" si="1">I22*(1+$J$2)</f>
        <v>26000</v>
      </c>
      <c r="K22" s="46"/>
      <c r="N22" s="94" t="s">
        <v>172</v>
      </c>
      <c r="O22" s="162" t="s">
        <v>172</v>
      </c>
      <c r="P22" s="158">
        <v>2400</v>
      </c>
      <c r="Q22" s="158">
        <v>2534.3200000000002</v>
      </c>
      <c r="R22" s="158">
        <v>3000</v>
      </c>
      <c r="S22" s="158">
        <v>0</v>
      </c>
      <c r="T22" s="158">
        <v>3000</v>
      </c>
      <c r="U22" s="158">
        <v>2342.16</v>
      </c>
      <c r="V22" s="159">
        <v>3000</v>
      </c>
      <c r="W22" s="159">
        <v>1555.49</v>
      </c>
      <c r="X22" s="168">
        <v>6000</v>
      </c>
      <c r="Y22" s="169">
        <v>5213</v>
      </c>
      <c r="Z22" s="168">
        <v>2800</v>
      </c>
      <c r="AA22" s="169">
        <v>2853.84</v>
      </c>
      <c r="AB22" s="168">
        <v>3500</v>
      </c>
      <c r="AC22" s="169">
        <v>2411.7600000000002</v>
      </c>
      <c r="AD22" s="168">
        <v>4000</v>
      </c>
      <c r="AE22" s="169">
        <v>2180.9699999999998</v>
      </c>
      <c r="AF22" s="186">
        <v>5400</v>
      </c>
      <c r="AG22" s="187">
        <v>3099.99</v>
      </c>
      <c r="AH22" s="186">
        <v>7000</v>
      </c>
      <c r="AI22" s="187">
        <v>3844.92</v>
      </c>
      <c r="AJ22" s="200">
        <v>8200</v>
      </c>
    </row>
    <row r="23" spans="3:36" ht="18" customHeight="1" x14ac:dyDescent="0.25">
      <c r="C23" s="94" t="s">
        <v>97</v>
      </c>
      <c r="D23" s="95" t="s">
        <v>86</v>
      </c>
      <c r="E23" s="95" t="s">
        <v>98</v>
      </c>
      <c r="F23" s="95" t="s">
        <v>88</v>
      </c>
      <c r="G23" s="93">
        <v>6500</v>
      </c>
      <c r="H23" s="44">
        <f t="shared" si="0"/>
        <v>8450</v>
      </c>
      <c r="I23" s="45">
        <v>10000</v>
      </c>
      <c r="J23" s="45">
        <f t="shared" si="1"/>
        <v>13000</v>
      </c>
      <c r="K23" s="46"/>
      <c r="N23" s="197" t="s">
        <v>514</v>
      </c>
      <c r="O23" s="197" t="s">
        <v>514</v>
      </c>
      <c r="P23" s="197"/>
      <c r="Q23" s="197"/>
      <c r="R23" s="197"/>
      <c r="S23" s="197"/>
      <c r="T23" s="197"/>
      <c r="U23" s="197"/>
      <c r="V23" s="197"/>
      <c r="W23" s="197"/>
      <c r="X23" s="197"/>
      <c r="Y23" s="197"/>
      <c r="Z23" s="197"/>
      <c r="AA23" s="197"/>
      <c r="AB23" s="197"/>
      <c r="AC23" s="197"/>
      <c r="AD23" s="197"/>
      <c r="AE23" s="197"/>
      <c r="AF23" s="197"/>
      <c r="AG23" s="197"/>
      <c r="AH23" s="197"/>
      <c r="AI23" s="197"/>
      <c r="AJ23" s="200">
        <v>6000</v>
      </c>
    </row>
    <row r="24" spans="3:36" ht="18" customHeight="1" x14ac:dyDescent="0.25">
      <c r="C24" s="94" t="s">
        <v>101</v>
      </c>
      <c r="D24" s="95" t="s">
        <v>86</v>
      </c>
      <c r="E24" s="95" t="s">
        <v>102</v>
      </c>
      <c r="F24" s="95" t="s">
        <v>88</v>
      </c>
      <c r="G24" s="93">
        <v>6500</v>
      </c>
      <c r="H24" s="44">
        <f t="shared" si="0"/>
        <v>8450</v>
      </c>
      <c r="I24" s="45">
        <v>10000</v>
      </c>
      <c r="J24" s="45">
        <f t="shared" si="1"/>
        <v>13000</v>
      </c>
      <c r="K24" s="46"/>
      <c r="N24" s="95" t="s">
        <v>174</v>
      </c>
      <c r="O24" s="167" t="s">
        <v>505</v>
      </c>
      <c r="P24" s="158"/>
      <c r="Q24" s="158"/>
      <c r="R24" s="158"/>
      <c r="S24" s="158"/>
      <c r="T24" s="158">
        <v>3000</v>
      </c>
      <c r="U24" s="158">
        <v>2176.5700000000002</v>
      </c>
      <c r="V24" s="159">
        <v>3000</v>
      </c>
      <c r="W24" s="159">
        <v>689.79</v>
      </c>
      <c r="X24" s="168">
        <v>5500</v>
      </c>
      <c r="Y24" s="169">
        <v>2958.87</v>
      </c>
      <c r="Z24" s="168"/>
      <c r="AA24" s="169"/>
      <c r="AB24" s="168"/>
      <c r="AC24" s="169"/>
      <c r="AD24" s="168">
        <v>4000</v>
      </c>
      <c r="AE24" s="169">
        <v>671.4</v>
      </c>
      <c r="AF24" s="187">
        <v>0</v>
      </c>
      <c r="AG24" s="187">
        <v>0</v>
      </c>
      <c r="AH24" s="187">
        <v>0</v>
      </c>
      <c r="AI24" s="187">
        <v>0</v>
      </c>
      <c r="AJ24" s="200">
        <v>8000</v>
      </c>
    </row>
    <row r="25" spans="3:36" ht="18" customHeight="1" x14ac:dyDescent="0.25">
      <c r="C25" s="94" t="s">
        <v>104</v>
      </c>
      <c r="D25" s="95" t="s">
        <v>86</v>
      </c>
      <c r="E25" s="95" t="s">
        <v>105</v>
      </c>
      <c r="F25" s="95" t="s">
        <v>88</v>
      </c>
      <c r="G25" s="93">
        <v>6500</v>
      </c>
      <c r="H25" s="44">
        <f t="shared" si="0"/>
        <v>8450</v>
      </c>
      <c r="I25" s="45">
        <v>12000</v>
      </c>
      <c r="J25" s="45">
        <f t="shared" si="1"/>
        <v>15600</v>
      </c>
      <c r="K25" s="46"/>
      <c r="N25" s="95" t="s">
        <v>177</v>
      </c>
      <c r="O25" s="167" t="s">
        <v>506</v>
      </c>
      <c r="P25" s="158"/>
      <c r="Q25" s="158"/>
      <c r="R25" s="158"/>
      <c r="S25" s="158"/>
      <c r="T25" s="158">
        <v>3000</v>
      </c>
      <c r="U25" s="158">
        <v>2770.23</v>
      </c>
      <c r="V25" s="159">
        <v>3000</v>
      </c>
      <c r="W25" s="159">
        <v>2876.47</v>
      </c>
      <c r="X25" s="168">
        <v>4000</v>
      </c>
      <c r="Y25" s="169">
        <v>5235.84</v>
      </c>
      <c r="Z25" s="168"/>
      <c r="AA25" s="169"/>
      <c r="AB25" s="168"/>
      <c r="AC25" s="169"/>
      <c r="AD25" s="168">
        <v>4000</v>
      </c>
      <c r="AE25" s="169">
        <v>459.32</v>
      </c>
      <c r="AF25" s="186">
        <v>5000</v>
      </c>
      <c r="AG25" s="187">
        <v>0</v>
      </c>
      <c r="AH25" s="186">
        <v>5000</v>
      </c>
      <c r="AI25" s="187">
        <v>1840.49</v>
      </c>
      <c r="AJ25" s="200">
        <v>9000</v>
      </c>
    </row>
    <row r="26" spans="3:36" ht="18" customHeight="1" x14ac:dyDescent="0.25">
      <c r="C26" s="94" t="s">
        <v>108</v>
      </c>
      <c r="D26" s="95" t="s">
        <v>86</v>
      </c>
      <c r="E26" s="95" t="s">
        <v>109</v>
      </c>
      <c r="F26" s="95" t="s">
        <v>88</v>
      </c>
      <c r="G26" s="93">
        <v>6500</v>
      </c>
      <c r="H26" s="44">
        <f t="shared" si="0"/>
        <v>8450</v>
      </c>
      <c r="I26" s="45">
        <v>10000</v>
      </c>
      <c r="J26" s="45">
        <f t="shared" si="1"/>
        <v>13000</v>
      </c>
      <c r="K26" s="46"/>
      <c r="N26" s="94" t="s">
        <v>182</v>
      </c>
      <c r="O26" s="167" t="s">
        <v>507</v>
      </c>
      <c r="P26" s="158">
        <v>2400</v>
      </c>
      <c r="Q26" s="158">
        <v>426.9</v>
      </c>
      <c r="R26" s="158">
        <v>3000</v>
      </c>
      <c r="S26" s="158">
        <v>3563.87</v>
      </c>
      <c r="T26" s="158">
        <v>3000</v>
      </c>
      <c r="U26" s="158">
        <v>5409.63</v>
      </c>
      <c r="V26" s="159">
        <v>3000</v>
      </c>
      <c r="W26" s="159">
        <v>135.36000000000001</v>
      </c>
      <c r="X26" s="168">
        <v>4000</v>
      </c>
      <c r="Y26" s="169">
        <v>391.53000000000003</v>
      </c>
      <c r="Z26" s="168">
        <v>2800</v>
      </c>
      <c r="AA26" s="169">
        <v>940.94</v>
      </c>
      <c r="AB26" s="168">
        <v>5000</v>
      </c>
      <c r="AC26" s="169">
        <v>4289.3999999999996</v>
      </c>
      <c r="AD26" s="168">
        <v>6000</v>
      </c>
      <c r="AE26" s="169">
        <v>3265.9</v>
      </c>
      <c r="AF26" s="186">
        <v>6000</v>
      </c>
      <c r="AG26" s="187">
        <v>6758.22</v>
      </c>
      <c r="AH26" s="186">
        <v>5000</v>
      </c>
      <c r="AI26" s="187">
        <v>4920.95</v>
      </c>
      <c r="AJ26" s="200">
        <v>9000</v>
      </c>
    </row>
    <row r="27" spans="3:36" ht="18" customHeight="1" x14ac:dyDescent="0.25">
      <c r="C27" s="94" t="s">
        <v>113</v>
      </c>
      <c r="D27" s="95" t="s">
        <v>86</v>
      </c>
      <c r="E27" s="95" t="s">
        <v>114</v>
      </c>
      <c r="F27" s="95" t="s">
        <v>88</v>
      </c>
      <c r="G27" s="93">
        <v>6500</v>
      </c>
      <c r="H27" s="44">
        <f t="shared" si="0"/>
        <v>8450</v>
      </c>
      <c r="I27" s="45">
        <v>10000</v>
      </c>
      <c r="J27" s="45">
        <f t="shared" si="1"/>
        <v>13000</v>
      </c>
      <c r="K27" s="46"/>
      <c r="N27" s="197" t="s">
        <v>515</v>
      </c>
      <c r="O27" s="197" t="s">
        <v>515</v>
      </c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201">
        <v>9000</v>
      </c>
    </row>
    <row r="28" spans="3:36" ht="18" customHeight="1" x14ac:dyDescent="0.25">
      <c r="C28" s="94" t="s">
        <v>117</v>
      </c>
      <c r="D28" s="95" t="s">
        <v>86</v>
      </c>
      <c r="E28" s="95" t="s">
        <v>118</v>
      </c>
      <c r="F28" s="95" t="s">
        <v>88</v>
      </c>
      <c r="G28" s="93">
        <v>6500</v>
      </c>
      <c r="H28" s="44">
        <f t="shared" si="0"/>
        <v>8450</v>
      </c>
      <c r="I28" s="45">
        <v>20000</v>
      </c>
      <c r="J28" s="45">
        <f t="shared" si="1"/>
        <v>26000</v>
      </c>
      <c r="K28" s="46"/>
      <c r="N28" s="94" t="s">
        <v>188</v>
      </c>
      <c r="O28" s="163" t="s">
        <v>188</v>
      </c>
      <c r="P28" s="171">
        <v>0</v>
      </c>
      <c r="Q28" s="158">
        <v>0</v>
      </c>
      <c r="R28" s="171">
        <v>3000</v>
      </c>
      <c r="S28" s="158">
        <v>2851.61</v>
      </c>
      <c r="T28" s="171">
        <v>3000</v>
      </c>
      <c r="U28" s="158">
        <v>5594.21</v>
      </c>
      <c r="V28" s="159">
        <v>3000</v>
      </c>
      <c r="W28" s="159">
        <v>0</v>
      </c>
      <c r="X28" s="168">
        <v>4000</v>
      </c>
      <c r="Y28" s="169">
        <v>0</v>
      </c>
      <c r="Z28" s="168">
        <v>0</v>
      </c>
      <c r="AA28" s="169">
        <v>0</v>
      </c>
      <c r="AB28" s="168">
        <v>3500</v>
      </c>
      <c r="AC28" s="169">
        <v>762.68</v>
      </c>
      <c r="AD28" s="168">
        <v>4000</v>
      </c>
      <c r="AE28" s="169">
        <v>1519.44</v>
      </c>
      <c r="AF28" s="187">
        <v>0</v>
      </c>
      <c r="AG28" s="187">
        <v>0</v>
      </c>
      <c r="AH28" s="187">
        <v>5000</v>
      </c>
      <c r="AI28" s="187">
        <v>0</v>
      </c>
      <c r="AJ28" s="200">
        <v>9000</v>
      </c>
    </row>
    <row r="29" spans="3:36" ht="18" customHeight="1" x14ac:dyDescent="0.25">
      <c r="C29" s="94" t="s">
        <v>121</v>
      </c>
      <c r="D29" s="95" t="s">
        <v>86</v>
      </c>
      <c r="E29" s="95" t="s">
        <v>122</v>
      </c>
      <c r="F29" s="95" t="s">
        <v>88</v>
      </c>
      <c r="G29" s="93">
        <v>6500</v>
      </c>
      <c r="H29" s="44">
        <f t="shared" si="0"/>
        <v>8450</v>
      </c>
      <c r="I29" s="45">
        <v>12000</v>
      </c>
      <c r="J29" s="45">
        <f t="shared" si="1"/>
        <v>15600</v>
      </c>
      <c r="K29" s="46"/>
      <c r="N29" s="95" t="s">
        <v>159</v>
      </c>
      <c r="O29" s="172" t="s">
        <v>508</v>
      </c>
      <c r="P29" s="173"/>
      <c r="Q29" s="174"/>
      <c r="R29" s="173">
        <v>3000</v>
      </c>
      <c r="S29" s="174">
        <v>0</v>
      </c>
      <c r="T29" s="173">
        <v>3000</v>
      </c>
      <c r="U29" s="174">
        <v>0</v>
      </c>
      <c r="V29" s="175">
        <f>7000+8800</f>
        <v>15800</v>
      </c>
      <c r="W29" s="176">
        <v>15794.24</v>
      </c>
      <c r="X29" s="168">
        <v>0</v>
      </c>
      <c r="Y29" s="169">
        <v>0</v>
      </c>
      <c r="Z29" s="168"/>
      <c r="AA29" s="169"/>
      <c r="AB29" s="168">
        <v>2000</v>
      </c>
      <c r="AC29" s="169">
        <v>0</v>
      </c>
      <c r="AD29" s="168">
        <v>2500</v>
      </c>
      <c r="AE29" s="169">
        <v>5229.12</v>
      </c>
      <c r="AF29" s="188">
        <v>0</v>
      </c>
      <c r="AG29" s="188">
        <v>0</v>
      </c>
      <c r="AH29" s="188">
        <v>0</v>
      </c>
      <c r="AI29" s="188">
        <v>0</v>
      </c>
      <c r="AJ29" s="142">
        <v>0</v>
      </c>
    </row>
    <row r="30" spans="3:36" ht="18" customHeight="1" x14ac:dyDescent="0.25">
      <c r="C30" s="94" t="s">
        <v>125</v>
      </c>
      <c r="D30" s="95" t="s">
        <v>86</v>
      </c>
      <c r="E30" s="95" t="s">
        <v>126</v>
      </c>
      <c r="F30" s="95" t="s">
        <v>88</v>
      </c>
      <c r="G30" s="93">
        <v>6500</v>
      </c>
      <c r="H30" s="44">
        <f t="shared" si="0"/>
        <v>8450</v>
      </c>
      <c r="I30" s="45">
        <v>10000</v>
      </c>
      <c r="J30" s="45">
        <f t="shared" si="1"/>
        <v>13000</v>
      </c>
      <c r="K30" s="46"/>
      <c r="N30" s="94" t="s">
        <v>141</v>
      </c>
      <c r="O30" s="177" t="s">
        <v>363</v>
      </c>
      <c r="P30" s="178">
        <v>17380</v>
      </c>
      <c r="Q30" s="178">
        <v>18283.169999999998</v>
      </c>
      <c r="R30" s="178">
        <v>26400</v>
      </c>
      <c r="S30" s="178">
        <v>19933.509999999998</v>
      </c>
      <c r="T30" s="178">
        <v>46000</v>
      </c>
      <c r="U30" s="178">
        <v>37644.99</v>
      </c>
      <c r="V30" s="159">
        <f>42100-V19-V26-12000</f>
        <v>24100</v>
      </c>
      <c r="W30" s="159">
        <v>7517.29</v>
      </c>
      <c r="X30" s="179">
        <v>28039.360000000001</v>
      </c>
      <c r="Y30" s="180">
        <v>19926.989999999998</v>
      </c>
      <c r="Z30" s="179">
        <v>17390</v>
      </c>
      <c r="AA30" s="180">
        <v>11418.88</v>
      </c>
      <c r="AB30" s="179">
        <v>23000</v>
      </c>
      <c r="AC30" s="180">
        <v>17378.59</v>
      </c>
      <c r="AD30" s="179">
        <v>28500</v>
      </c>
      <c r="AE30" s="180">
        <v>8265.36</v>
      </c>
      <c r="AF30" s="189">
        <v>19000</v>
      </c>
      <c r="AG30" s="188">
        <v>7063.35</v>
      </c>
      <c r="AH30" s="189">
        <v>42000</v>
      </c>
      <c r="AI30" s="188">
        <v>10611.03</v>
      </c>
      <c r="AJ30" s="142">
        <v>47800</v>
      </c>
    </row>
    <row r="31" spans="3:36" ht="18" customHeight="1" x14ac:dyDescent="0.25">
      <c r="C31" s="94" t="s">
        <v>129</v>
      </c>
      <c r="D31" s="95" t="s">
        <v>86</v>
      </c>
      <c r="E31" s="95" t="s">
        <v>130</v>
      </c>
      <c r="F31" s="95" t="s">
        <v>88</v>
      </c>
      <c r="G31" s="93">
        <v>6500</v>
      </c>
      <c r="H31" s="44">
        <f t="shared" si="0"/>
        <v>8450</v>
      </c>
      <c r="I31" s="45">
        <v>10000</v>
      </c>
      <c r="J31" s="45">
        <f t="shared" si="1"/>
        <v>13000</v>
      </c>
      <c r="K31" s="46"/>
      <c r="N31" s="95" t="s">
        <v>65</v>
      </c>
      <c r="O31" s="181" t="s">
        <v>510</v>
      </c>
      <c r="P31" s="182">
        <v>0</v>
      </c>
      <c r="Q31" s="182">
        <v>0</v>
      </c>
      <c r="R31" s="178">
        <v>20000</v>
      </c>
      <c r="S31" s="178">
        <v>7938.3</v>
      </c>
      <c r="T31" s="178">
        <v>24000</v>
      </c>
      <c r="U31" s="178">
        <v>14861.8</v>
      </c>
      <c r="V31" s="159">
        <f>25000-10000</f>
        <v>15000</v>
      </c>
      <c r="W31" s="159">
        <v>4334.63</v>
      </c>
      <c r="X31" s="168">
        <v>20000</v>
      </c>
      <c r="Y31" s="183">
        <v>5478.69</v>
      </c>
      <c r="Z31" s="168"/>
      <c r="AA31" s="168"/>
      <c r="AB31" s="168"/>
      <c r="AC31" s="168"/>
      <c r="AD31" s="168"/>
      <c r="AE31" s="168"/>
      <c r="AF31" s="187">
        <v>0</v>
      </c>
      <c r="AG31" s="187">
        <v>0</v>
      </c>
      <c r="AH31" s="187">
        <v>0</v>
      </c>
      <c r="AI31" s="187">
        <v>0</v>
      </c>
      <c r="AJ31" s="142">
        <v>20000</v>
      </c>
    </row>
    <row r="32" spans="3:36" ht="18" customHeight="1" x14ac:dyDescent="0.25">
      <c r="C32" s="94" t="s">
        <v>132</v>
      </c>
      <c r="D32" s="95" t="s">
        <v>86</v>
      </c>
      <c r="E32" s="95" t="s">
        <v>133</v>
      </c>
      <c r="F32" s="95" t="s">
        <v>88</v>
      </c>
      <c r="G32" s="93">
        <v>6500</v>
      </c>
      <c r="H32" s="44">
        <f t="shared" si="0"/>
        <v>8450</v>
      </c>
      <c r="I32" s="45">
        <v>10000</v>
      </c>
      <c r="J32" s="45">
        <f t="shared" si="1"/>
        <v>13000</v>
      </c>
      <c r="K32" s="46"/>
    </row>
    <row r="33" spans="3:36" ht="18" customHeight="1" x14ac:dyDescent="0.25">
      <c r="C33" s="94" t="s">
        <v>137</v>
      </c>
      <c r="D33" s="95" t="s">
        <v>86</v>
      </c>
      <c r="E33" s="95" t="s">
        <v>138</v>
      </c>
      <c r="F33" s="95" t="s">
        <v>88</v>
      </c>
      <c r="G33" s="93">
        <v>6500</v>
      </c>
      <c r="H33" s="44">
        <f t="shared" si="0"/>
        <v>8450</v>
      </c>
      <c r="I33" s="45">
        <v>10000</v>
      </c>
      <c r="J33" s="45">
        <f t="shared" si="1"/>
        <v>13000</v>
      </c>
      <c r="K33" s="46"/>
    </row>
    <row r="34" spans="3:36" ht="18" customHeight="1" x14ac:dyDescent="0.25">
      <c r="C34" s="94" t="s">
        <v>141</v>
      </c>
      <c r="D34" s="95" t="s">
        <v>20</v>
      </c>
      <c r="E34" s="95" t="s">
        <v>142</v>
      </c>
      <c r="F34" s="95" t="s">
        <v>22</v>
      </c>
      <c r="G34" s="93"/>
      <c r="H34" s="44"/>
      <c r="I34" s="45"/>
      <c r="J34" s="45"/>
      <c r="K34" s="46"/>
    </row>
    <row r="35" spans="3:36" ht="18" customHeight="1" x14ac:dyDescent="0.25">
      <c r="C35" s="94" t="s">
        <v>145</v>
      </c>
      <c r="D35" s="95" t="s">
        <v>9</v>
      </c>
      <c r="E35" s="95" t="s">
        <v>146</v>
      </c>
      <c r="F35" s="95" t="s">
        <v>11</v>
      </c>
      <c r="G35" s="93"/>
      <c r="H35" s="44"/>
      <c r="I35" s="45"/>
      <c r="J35" s="45"/>
      <c r="K35" s="46"/>
      <c r="O35" s="164" t="s">
        <v>502</v>
      </c>
      <c r="P35" s="165">
        <f t="shared" ref="P35:AJ35" si="2">SUM(P7:P19)</f>
        <v>65780</v>
      </c>
      <c r="Q35" s="165">
        <f t="shared" si="2"/>
        <v>45695.9</v>
      </c>
      <c r="R35" s="165">
        <f t="shared" si="2"/>
        <v>78000</v>
      </c>
      <c r="S35" s="165">
        <f t="shared" si="2"/>
        <v>51221.13</v>
      </c>
      <c r="T35" s="165">
        <f t="shared" si="2"/>
        <v>78000</v>
      </c>
      <c r="U35" s="165">
        <f t="shared" si="2"/>
        <v>59487.11</v>
      </c>
      <c r="V35" s="165">
        <f t="shared" si="2"/>
        <v>60200</v>
      </c>
      <c r="W35" s="165">
        <f t="shared" si="2"/>
        <v>44980.95</v>
      </c>
      <c r="X35" s="165">
        <f t="shared" si="2"/>
        <v>85960.639999999999</v>
      </c>
      <c r="Y35" s="165">
        <f t="shared" si="2"/>
        <v>80876.73</v>
      </c>
      <c r="Z35" s="165">
        <f t="shared" si="2"/>
        <v>93700</v>
      </c>
      <c r="AA35" s="165">
        <f t="shared" si="2"/>
        <v>78385.880000000019</v>
      </c>
      <c r="AB35" s="165">
        <f t="shared" si="2"/>
        <v>112500</v>
      </c>
      <c r="AC35" s="165">
        <f t="shared" si="2"/>
        <v>105813.06</v>
      </c>
      <c r="AD35" s="165">
        <f t="shared" si="2"/>
        <v>138000</v>
      </c>
      <c r="AE35" s="165">
        <f t="shared" si="2"/>
        <v>116799.76</v>
      </c>
      <c r="AF35" s="165">
        <f t="shared" si="2"/>
        <v>112700</v>
      </c>
      <c r="AG35" s="165">
        <f t="shared" si="2"/>
        <v>128426.68</v>
      </c>
      <c r="AH35" s="165">
        <f t="shared" si="2"/>
        <v>148000</v>
      </c>
      <c r="AI35" s="165">
        <f t="shared" si="2"/>
        <v>113407.09999999999</v>
      </c>
      <c r="AJ35" s="165">
        <f t="shared" si="2"/>
        <v>240000</v>
      </c>
    </row>
    <row r="36" spans="3:36" ht="18" customHeight="1" x14ac:dyDescent="0.25">
      <c r="C36" s="94" t="s">
        <v>149</v>
      </c>
      <c r="D36" s="95" t="s">
        <v>9</v>
      </c>
      <c r="E36" s="95" t="s">
        <v>150</v>
      </c>
      <c r="F36" s="95" t="s">
        <v>11</v>
      </c>
      <c r="G36" s="93"/>
      <c r="H36" s="44"/>
      <c r="I36" s="45"/>
      <c r="J36" s="45"/>
      <c r="K36" s="46"/>
      <c r="O36" s="164" t="s">
        <v>509</v>
      </c>
      <c r="P36" s="165">
        <f t="shared" ref="P36:AJ36" si="3">SUM(P20:P29)</f>
        <v>7200</v>
      </c>
      <c r="Q36" s="165">
        <f t="shared" si="3"/>
        <v>4009.7000000000003</v>
      </c>
      <c r="R36" s="165">
        <f t="shared" si="3"/>
        <v>15000</v>
      </c>
      <c r="S36" s="165">
        <f t="shared" si="3"/>
        <v>9278.51</v>
      </c>
      <c r="T36" s="165">
        <f t="shared" si="3"/>
        <v>21000</v>
      </c>
      <c r="U36" s="165">
        <f t="shared" si="3"/>
        <v>29839.15</v>
      </c>
      <c r="V36" s="165">
        <f t="shared" si="3"/>
        <v>33800</v>
      </c>
      <c r="W36" s="165">
        <f t="shared" si="3"/>
        <v>21726.05</v>
      </c>
      <c r="X36" s="165">
        <f t="shared" si="3"/>
        <v>31500</v>
      </c>
      <c r="Y36" s="165">
        <f t="shared" si="3"/>
        <v>17803.059999999998</v>
      </c>
      <c r="Z36" s="165">
        <f t="shared" si="3"/>
        <v>16600</v>
      </c>
      <c r="AA36" s="165">
        <f t="shared" si="3"/>
        <v>11315.33</v>
      </c>
      <c r="AB36" s="165">
        <f t="shared" si="3"/>
        <v>21500</v>
      </c>
      <c r="AC36" s="165">
        <f t="shared" si="3"/>
        <v>13379.37</v>
      </c>
      <c r="AD36" s="165">
        <f t="shared" si="3"/>
        <v>33500</v>
      </c>
      <c r="AE36" s="165">
        <f t="shared" si="3"/>
        <v>43066.540000000008</v>
      </c>
      <c r="AF36" s="165">
        <f t="shared" si="3"/>
        <v>20200</v>
      </c>
      <c r="AG36" s="165">
        <f t="shared" si="3"/>
        <v>10117.970000000001</v>
      </c>
      <c r="AH36" s="165">
        <f t="shared" si="3"/>
        <v>32000</v>
      </c>
      <c r="AI36" s="165">
        <f t="shared" si="3"/>
        <v>15964.239999999998</v>
      </c>
      <c r="AJ36" s="165">
        <f t="shared" si="3"/>
        <v>76200</v>
      </c>
    </row>
    <row r="37" spans="3:36" ht="18" customHeight="1" x14ac:dyDescent="0.25">
      <c r="C37" s="95" t="s">
        <v>153</v>
      </c>
      <c r="D37" s="95" t="s">
        <v>9</v>
      </c>
      <c r="E37" s="95" t="s">
        <v>153</v>
      </c>
      <c r="F37" s="95" t="s">
        <v>11</v>
      </c>
      <c r="G37" s="93"/>
      <c r="H37" s="44"/>
      <c r="I37" s="45"/>
      <c r="J37" s="45"/>
      <c r="K37" s="46"/>
    </row>
    <row r="38" spans="3:36" ht="18" customHeight="1" thickBot="1" x14ac:dyDescent="0.25">
      <c r="C38" s="97" t="s">
        <v>381</v>
      </c>
      <c r="D38" s="97" t="s">
        <v>160</v>
      </c>
      <c r="E38" s="97" t="s">
        <v>385</v>
      </c>
      <c r="F38" s="97" t="s">
        <v>389</v>
      </c>
      <c r="G38" s="93">
        <v>0</v>
      </c>
      <c r="H38" s="44">
        <f t="shared" ref="H38:H50" si="4">G38*(1+$H$2)</f>
        <v>0</v>
      </c>
      <c r="I38" s="45">
        <v>0</v>
      </c>
      <c r="J38" s="45">
        <f t="shared" ref="J38:J50" si="5">I38*(1+$J$2)</f>
        <v>0</v>
      </c>
      <c r="K38" s="46"/>
      <c r="O38" s="184" t="s">
        <v>511</v>
      </c>
      <c r="P38" s="185">
        <f t="shared" ref="P38:AJ38" si="6">P35+P36+P30+P31</f>
        <v>90360</v>
      </c>
      <c r="Q38" s="185">
        <f t="shared" si="6"/>
        <v>67988.76999999999</v>
      </c>
      <c r="R38" s="185">
        <f t="shared" si="6"/>
        <v>139400</v>
      </c>
      <c r="S38" s="185">
        <f t="shared" si="6"/>
        <v>88371.45</v>
      </c>
      <c r="T38" s="185">
        <f t="shared" si="6"/>
        <v>169000</v>
      </c>
      <c r="U38" s="185">
        <f t="shared" si="6"/>
        <v>141833.04999999999</v>
      </c>
      <c r="V38" s="185">
        <f t="shared" si="6"/>
        <v>133100</v>
      </c>
      <c r="W38" s="185">
        <f t="shared" si="6"/>
        <v>78558.92</v>
      </c>
      <c r="X38" s="185">
        <f t="shared" si="6"/>
        <v>165500</v>
      </c>
      <c r="Y38" s="185">
        <f t="shared" si="6"/>
        <v>124085.47</v>
      </c>
      <c r="Z38" s="185">
        <f t="shared" si="6"/>
        <v>127690</v>
      </c>
      <c r="AA38" s="185">
        <f t="shared" si="6"/>
        <v>101120.09000000003</v>
      </c>
      <c r="AB38" s="185">
        <f t="shared" si="6"/>
        <v>157000</v>
      </c>
      <c r="AC38" s="185">
        <f t="shared" si="6"/>
        <v>136571.01999999999</v>
      </c>
      <c r="AD38" s="185">
        <f t="shared" si="6"/>
        <v>200000</v>
      </c>
      <c r="AE38" s="185">
        <f t="shared" si="6"/>
        <v>168131.65999999997</v>
      </c>
      <c r="AF38" s="185">
        <f t="shared" si="6"/>
        <v>151900</v>
      </c>
      <c r="AG38" s="185">
        <f t="shared" si="6"/>
        <v>145608</v>
      </c>
      <c r="AH38" s="185">
        <f t="shared" si="6"/>
        <v>222000</v>
      </c>
      <c r="AI38" s="185">
        <f t="shared" si="6"/>
        <v>139982.37</v>
      </c>
      <c r="AJ38" s="185">
        <f t="shared" si="6"/>
        <v>384000</v>
      </c>
    </row>
    <row r="39" spans="3:36" ht="18" customHeight="1" x14ac:dyDescent="0.25">
      <c r="C39" s="97" t="s">
        <v>382</v>
      </c>
      <c r="D39" s="97" t="s">
        <v>160</v>
      </c>
      <c r="E39" s="97" t="s">
        <v>386</v>
      </c>
      <c r="F39" s="97" t="s">
        <v>389</v>
      </c>
      <c r="G39" s="93">
        <v>0</v>
      </c>
      <c r="H39" s="44">
        <f t="shared" si="4"/>
        <v>0</v>
      </c>
      <c r="I39" s="45">
        <v>0</v>
      </c>
      <c r="J39" s="45">
        <f t="shared" si="5"/>
        <v>0</v>
      </c>
      <c r="K39" s="46"/>
    </row>
    <row r="40" spans="3:36" ht="18" customHeight="1" x14ac:dyDescent="0.25">
      <c r="C40" s="97" t="s">
        <v>383</v>
      </c>
      <c r="D40" s="97" t="s">
        <v>160</v>
      </c>
      <c r="E40" s="97" t="s">
        <v>387</v>
      </c>
      <c r="F40" s="97" t="s">
        <v>389</v>
      </c>
      <c r="G40" s="93">
        <v>0</v>
      </c>
      <c r="H40" s="44">
        <f t="shared" si="4"/>
        <v>0</v>
      </c>
      <c r="I40" s="45">
        <v>0</v>
      </c>
      <c r="J40" s="45">
        <f t="shared" si="5"/>
        <v>0</v>
      </c>
      <c r="K40" s="46"/>
    </row>
    <row r="41" spans="3:36" ht="18" customHeight="1" x14ac:dyDescent="0.25">
      <c r="C41" s="97" t="s">
        <v>384</v>
      </c>
      <c r="D41" s="97" t="s">
        <v>160</v>
      </c>
      <c r="E41" s="97" t="s">
        <v>388</v>
      </c>
      <c r="F41" s="97" t="s">
        <v>389</v>
      </c>
      <c r="G41" s="93">
        <v>0</v>
      </c>
      <c r="H41" s="44">
        <f t="shared" si="4"/>
        <v>0</v>
      </c>
      <c r="I41" s="45">
        <v>0</v>
      </c>
      <c r="J41" s="45">
        <f t="shared" si="5"/>
        <v>0</v>
      </c>
      <c r="K41" s="46"/>
    </row>
    <row r="42" spans="3:36" ht="18" customHeight="1" x14ac:dyDescent="0.25">
      <c r="C42" s="95" t="s">
        <v>165</v>
      </c>
      <c r="D42" s="95" t="s">
        <v>160</v>
      </c>
      <c r="E42" s="95" t="s">
        <v>166</v>
      </c>
      <c r="F42" s="95" t="s">
        <v>161</v>
      </c>
      <c r="G42" s="93">
        <v>4000</v>
      </c>
      <c r="H42" s="44">
        <f t="shared" si="4"/>
        <v>5200</v>
      </c>
      <c r="I42" s="45">
        <v>5000</v>
      </c>
      <c r="J42" s="45">
        <f t="shared" si="5"/>
        <v>6500</v>
      </c>
      <c r="K42" s="46"/>
    </row>
    <row r="43" spans="3:36" ht="18" customHeight="1" x14ac:dyDescent="0.25">
      <c r="C43" s="94" t="s">
        <v>170</v>
      </c>
      <c r="D43" s="95" t="s">
        <v>160</v>
      </c>
      <c r="E43" s="95" t="s">
        <v>171</v>
      </c>
      <c r="F43" s="95" t="s">
        <v>161</v>
      </c>
      <c r="G43" s="93">
        <v>4000</v>
      </c>
      <c r="H43" s="44">
        <f t="shared" si="4"/>
        <v>5200</v>
      </c>
      <c r="I43" s="45">
        <v>5000</v>
      </c>
      <c r="J43" s="45">
        <f t="shared" si="5"/>
        <v>6500</v>
      </c>
      <c r="K43" s="46"/>
      <c r="N43" s="157" t="s">
        <v>350</v>
      </c>
      <c r="O43" s="190" t="s">
        <v>350</v>
      </c>
      <c r="P43" s="191">
        <v>25000</v>
      </c>
    </row>
    <row r="44" spans="3:36" ht="18" customHeight="1" x14ac:dyDescent="0.25">
      <c r="C44" s="94" t="s">
        <v>172</v>
      </c>
      <c r="D44" s="95" t="s">
        <v>160</v>
      </c>
      <c r="E44" s="95" t="s">
        <v>173</v>
      </c>
      <c r="F44" s="95" t="s">
        <v>161</v>
      </c>
      <c r="G44" s="93">
        <v>4000</v>
      </c>
      <c r="H44" s="44">
        <f t="shared" si="4"/>
        <v>5200</v>
      </c>
      <c r="I44" s="45">
        <v>5000</v>
      </c>
      <c r="J44" s="45">
        <f t="shared" si="5"/>
        <v>6500</v>
      </c>
      <c r="K44" s="46"/>
      <c r="N44" s="162" t="s">
        <v>351</v>
      </c>
      <c r="O44" s="192" t="s">
        <v>351</v>
      </c>
      <c r="P44" s="191">
        <v>25000</v>
      </c>
    </row>
    <row r="45" spans="3:36" ht="18" customHeight="1" x14ac:dyDescent="0.25">
      <c r="C45" s="197" t="s">
        <v>514</v>
      </c>
      <c r="D45" s="95" t="s">
        <v>160</v>
      </c>
      <c r="E45" s="95" t="s">
        <v>512</v>
      </c>
      <c r="F45" s="95" t="s">
        <v>161</v>
      </c>
      <c r="G45" s="93"/>
      <c r="H45" s="44"/>
      <c r="I45" s="45"/>
      <c r="J45" s="45"/>
      <c r="K45" s="46"/>
      <c r="N45" s="162" t="s">
        <v>352</v>
      </c>
      <c r="O45" s="192" t="s">
        <v>352</v>
      </c>
      <c r="P45" s="193">
        <v>15000</v>
      </c>
    </row>
    <row r="46" spans="3:36" ht="18" customHeight="1" x14ac:dyDescent="0.25">
      <c r="C46" s="95" t="s">
        <v>174</v>
      </c>
      <c r="D46" s="95" t="s">
        <v>160</v>
      </c>
      <c r="E46" s="95" t="s">
        <v>175</v>
      </c>
      <c r="F46" s="95" t="s">
        <v>161</v>
      </c>
      <c r="G46" s="93">
        <v>4000</v>
      </c>
      <c r="H46" s="44">
        <f t="shared" si="4"/>
        <v>5200</v>
      </c>
      <c r="I46" s="45">
        <v>5000</v>
      </c>
      <c r="J46" s="45">
        <f t="shared" si="5"/>
        <v>6500</v>
      </c>
      <c r="K46" s="46"/>
      <c r="N46" s="162" t="s">
        <v>353</v>
      </c>
      <c r="O46" s="192" t="s">
        <v>353</v>
      </c>
      <c r="P46" s="193">
        <v>15000</v>
      </c>
    </row>
    <row r="47" spans="3:36" ht="18" customHeight="1" x14ac:dyDescent="0.25">
      <c r="C47" s="95" t="s">
        <v>177</v>
      </c>
      <c r="D47" s="95" t="s">
        <v>160</v>
      </c>
      <c r="E47" s="95" t="s">
        <v>178</v>
      </c>
      <c r="F47" s="95" t="s">
        <v>161</v>
      </c>
      <c r="G47" s="93">
        <v>4000</v>
      </c>
      <c r="H47" s="44">
        <f t="shared" si="4"/>
        <v>5200</v>
      </c>
      <c r="I47" s="45">
        <v>5000</v>
      </c>
      <c r="J47" s="45">
        <f t="shared" si="5"/>
        <v>6500</v>
      </c>
      <c r="K47" s="46"/>
      <c r="N47" s="162" t="s">
        <v>354</v>
      </c>
      <c r="O47" s="192" t="s">
        <v>354</v>
      </c>
      <c r="P47" s="194">
        <v>18000</v>
      </c>
    </row>
    <row r="48" spans="3:36" ht="18" customHeight="1" x14ac:dyDescent="0.25">
      <c r="C48" s="94" t="s">
        <v>182</v>
      </c>
      <c r="D48" s="95" t="s">
        <v>160</v>
      </c>
      <c r="E48" s="95" t="s">
        <v>183</v>
      </c>
      <c r="F48" s="95" t="s">
        <v>161</v>
      </c>
      <c r="G48" s="93">
        <v>4000</v>
      </c>
      <c r="H48" s="44">
        <f t="shared" si="4"/>
        <v>5200</v>
      </c>
      <c r="I48" s="45">
        <v>5000</v>
      </c>
      <c r="J48" s="45">
        <f t="shared" si="5"/>
        <v>6500</v>
      </c>
      <c r="K48" s="46"/>
      <c r="N48" s="162" t="s">
        <v>355</v>
      </c>
      <c r="O48" s="192" t="s">
        <v>355</v>
      </c>
      <c r="P48" s="194">
        <v>18000</v>
      </c>
    </row>
    <row r="49" spans="2:16" ht="18" customHeight="1" x14ac:dyDescent="0.25">
      <c r="C49" s="197" t="s">
        <v>515</v>
      </c>
      <c r="D49" s="95" t="s">
        <v>160</v>
      </c>
      <c r="E49" s="95" t="s">
        <v>516</v>
      </c>
      <c r="F49" s="95" t="s">
        <v>161</v>
      </c>
      <c r="G49" s="93"/>
      <c r="H49" s="44"/>
      <c r="I49" s="45"/>
      <c r="J49" s="45"/>
      <c r="K49" s="46"/>
      <c r="N49" s="162" t="s">
        <v>356</v>
      </c>
      <c r="O49" s="192" t="s">
        <v>356</v>
      </c>
      <c r="P49" s="193">
        <v>15000</v>
      </c>
    </row>
    <row r="50" spans="2:16" ht="18" customHeight="1" x14ac:dyDescent="0.25">
      <c r="C50" s="94" t="s">
        <v>188</v>
      </c>
      <c r="D50" s="95" t="s">
        <v>160</v>
      </c>
      <c r="E50" s="95" t="s">
        <v>189</v>
      </c>
      <c r="F50" s="95" t="s">
        <v>161</v>
      </c>
      <c r="G50" s="93">
        <v>4000</v>
      </c>
      <c r="H50" s="44">
        <f t="shared" si="4"/>
        <v>5200</v>
      </c>
      <c r="I50" s="45">
        <v>5000</v>
      </c>
      <c r="J50" s="45">
        <f t="shared" si="5"/>
        <v>6500</v>
      </c>
      <c r="K50" s="46"/>
      <c r="N50" s="162" t="s">
        <v>357</v>
      </c>
      <c r="O50" s="192" t="s">
        <v>357</v>
      </c>
      <c r="P50" s="191">
        <v>25000</v>
      </c>
    </row>
    <row r="51" spans="2:16" ht="18" customHeight="1" x14ac:dyDescent="0.25">
      <c r="C51" s="94" t="s">
        <v>194</v>
      </c>
      <c r="D51" s="95" t="s">
        <v>32</v>
      </c>
      <c r="E51" s="95" t="s">
        <v>195</v>
      </c>
      <c r="F51" s="95" t="s">
        <v>34</v>
      </c>
      <c r="G51" s="93"/>
      <c r="H51" s="44"/>
      <c r="I51" s="45"/>
      <c r="J51" s="45"/>
      <c r="K51" s="46"/>
      <c r="N51" s="162" t="s">
        <v>358</v>
      </c>
      <c r="O51" s="192" t="s">
        <v>358</v>
      </c>
      <c r="P51" s="194">
        <v>18000</v>
      </c>
    </row>
    <row r="52" spans="2:16" ht="18" customHeight="1" x14ac:dyDescent="0.25">
      <c r="C52" s="94" t="s">
        <v>200</v>
      </c>
      <c r="D52" s="95" t="s">
        <v>9</v>
      </c>
      <c r="E52" s="95" t="s">
        <v>201</v>
      </c>
      <c r="F52" s="95" t="s">
        <v>11</v>
      </c>
      <c r="G52" s="93"/>
      <c r="H52" s="44"/>
      <c r="I52" s="45"/>
      <c r="J52" s="45"/>
      <c r="K52" s="46"/>
      <c r="N52" s="162" t="s">
        <v>359</v>
      </c>
      <c r="O52" s="192" t="s">
        <v>359</v>
      </c>
      <c r="P52" s="194">
        <v>18000</v>
      </c>
    </row>
    <row r="53" spans="2:16" ht="18" customHeight="1" x14ac:dyDescent="0.25">
      <c r="C53" s="94" t="s">
        <v>205</v>
      </c>
      <c r="D53" s="95" t="s">
        <v>9</v>
      </c>
      <c r="E53" s="95" t="s">
        <v>206</v>
      </c>
      <c r="F53" s="95" t="s">
        <v>11</v>
      </c>
      <c r="G53" s="93"/>
      <c r="H53" s="44"/>
      <c r="I53" s="45"/>
      <c r="J53" s="45"/>
      <c r="K53" s="46"/>
      <c r="N53" s="162" t="s">
        <v>360</v>
      </c>
      <c r="O53" s="192" t="s">
        <v>360</v>
      </c>
      <c r="P53" s="193">
        <v>15000</v>
      </c>
    </row>
    <row r="54" spans="2:16" ht="18" customHeight="1" x14ac:dyDescent="0.25">
      <c r="C54" s="95" t="s">
        <v>208</v>
      </c>
      <c r="D54" s="95" t="s">
        <v>20</v>
      </c>
      <c r="E54" s="95" t="s">
        <v>209</v>
      </c>
      <c r="F54" s="95" t="s">
        <v>22</v>
      </c>
      <c r="G54" s="93"/>
      <c r="H54" s="44"/>
      <c r="I54" s="45"/>
      <c r="J54" s="45"/>
      <c r="K54" s="46"/>
      <c r="N54" s="162" t="s">
        <v>361</v>
      </c>
      <c r="O54" s="192" t="s">
        <v>361</v>
      </c>
      <c r="P54" s="193">
        <v>15000</v>
      </c>
    </row>
    <row r="55" spans="2:16" ht="18" customHeight="1" x14ac:dyDescent="0.25">
      <c r="C55" s="94" t="s">
        <v>211</v>
      </c>
      <c r="D55" s="95" t="s">
        <v>9</v>
      </c>
      <c r="E55" s="95" t="s">
        <v>212</v>
      </c>
      <c r="F55" s="95" t="s">
        <v>11</v>
      </c>
      <c r="G55" s="93"/>
      <c r="H55" s="44"/>
      <c r="I55" s="45"/>
      <c r="J55" s="45"/>
      <c r="K55" s="46"/>
      <c r="N55" s="163" t="s">
        <v>362</v>
      </c>
      <c r="O55" s="166" t="s">
        <v>362</v>
      </c>
      <c r="P55" s="194">
        <v>18000</v>
      </c>
    </row>
    <row r="56" spans="2:16" ht="18" customHeight="1" x14ac:dyDescent="0.25">
      <c r="C56" s="94" t="s">
        <v>214</v>
      </c>
      <c r="D56" s="95" t="s">
        <v>9</v>
      </c>
      <c r="E56" s="95" t="s">
        <v>215</v>
      </c>
      <c r="F56" s="95" t="s">
        <v>11</v>
      </c>
      <c r="G56" s="93"/>
      <c r="H56" s="44"/>
      <c r="I56" s="45"/>
      <c r="J56" s="45"/>
      <c r="K56" s="46"/>
      <c r="N56" s="167" t="s">
        <v>503</v>
      </c>
      <c r="O56" s="192" t="s">
        <v>504</v>
      </c>
      <c r="P56" s="200">
        <v>9000</v>
      </c>
    </row>
    <row r="57" spans="2:16" ht="18" customHeight="1" x14ac:dyDescent="0.25">
      <c r="C57" s="94" t="s">
        <v>4</v>
      </c>
      <c r="D57" s="95" t="s">
        <v>32</v>
      </c>
      <c r="E57" s="95" t="s">
        <v>217</v>
      </c>
      <c r="F57" s="95" t="s">
        <v>34</v>
      </c>
      <c r="G57" s="93"/>
      <c r="H57" s="44"/>
      <c r="I57" s="45"/>
      <c r="J57" s="45"/>
      <c r="K57" s="46"/>
      <c r="N57" s="162" t="s">
        <v>170</v>
      </c>
      <c r="O57" s="192" t="s">
        <v>170</v>
      </c>
      <c r="P57" s="200">
        <v>9000</v>
      </c>
    </row>
    <row r="58" spans="2:16" ht="18" customHeight="1" x14ac:dyDescent="0.25">
      <c r="N58" s="162" t="s">
        <v>172</v>
      </c>
      <c r="O58" s="192" t="s">
        <v>172</v>
      </c>
      <c r="P58" s="200">
        <v>8200</v>
      </c>
    </row>
    <row r="59" spans="2:16" ht="18" customHeight="1" x14ac:dyDescent="0.25">
      <c r="N59" s="197" t="s">
        <v>514</v>
      </c>
      <c r="O59" s="195" t="s">
        <v>514</v>
      </c>
      <c r="P59" s="200">
        <v>6000</v>
      </c>
    </row>
    <row r="60" spans="2:16" ht="18" customHeight="1" x14ac:dyDescent="0.25">
      <c r="N60" s="167" t="s">
        <v>505</v>
      </c>
      <c r="O60" s="192" t="s">
        <v>505</v>
      </c>
      <c r="P60" s="200">
        <v>8000</v>
      </c>
    </row>
    <row r="61" spans="2:16" ht="18" customHeight="1" thickBot="1" x14ac:dyDescent="0.3">
      <c r="C61" s="7">
        <v>1</v>
      </c>
      <c r="D61" s="8">
        <v>2</v>
      </c>
      <c r="E61" s="8">
        <v>3</v>
      </c>
      <c r="F61" s="8">
        <v>4</v>
      </c>
      <c r="G61" s="8">
        <v>5</v>
      </c>
      <c r="I61" s="56" t="s">
        <v>176</v>
      </c>
      <c r="J61" s="56"/>
      <c r="N61" s="167" t="s">
        <v>506</v>
      </c>
      <c r="O61" s="192" t="s">
        <v>506</v>
      </c>
      <c r="P61" s="200">
        <v>9000</v>
      </c>
    </row>
    <row r="62" spans="2:16" ht="18" customHeight="1" x14ac:dyDescent="0.25">
      <c r="B62" s="408" t="s">
        <v>419</v>
      </c>
      <c r="C62" s="115" t="s">
        <v>13</v>
      </c>
      <c r="D62" s="15" t="s">
        <v>14</v>
      </c>
      <c r="E62" s="12" t="s">
        <v>417</v>
      </c>
      <c r="I62" s="17" t="s">
        <v>181</v>
      </c>
      <c r="N62" s="167" t="s">
        <v>507</v>
      </c>
      <c r="O62" s="192" t="s">
        <v>507</v>
      </c>
      <c r="P62" s="200">
        <v>9000</v>
      </c>
    </row>
    <row r="63" spans="2:16" ht="18" customHeight="1" x14ac:dyDescent="0.25">
      <c r="B63" s="406"/>
      <c r="C63" s="115" t="s">
        <v>23</v>
      </c>
      <c r="D63" s="15" t="s">
        <v>24</v>
      </c>
      <c r="E63" s="12" t="s">
        <v>417</v>
      </c>
      <c r="I63" s="17" t="s">
        <v>187</v>
      </c>
      <c r="N63" s="197" t="s">
        <v>515</v>
      </c>
      <c r="O63" s="196" t="s">
        <v>515</v>
      </c>
      <c r="P63" s="201">
        <v>9000</v>
      </c>
    </row>
    <row r="64" spans="2:16" ht="18" customHeight="1" x14ac:dyDescent="0.25">
      <c r="B64" s="406"/>
      <c r="C64" s="115" t="s">
        <v>28</v>
      </c>
      <c r="D64" s="15" t="s">
        <v>29</v>
      </c>
      <c r="E64" s="12" t="s">
        <v>417</v>
      </c>
      <c r="I64" s="17" t="s">
        <v>193</v>
      </c>
      <c r="N64" s="163" t="s">
        <v>188</v>
      </c>
      <c r="O64" s="166" t="s">
        <v>188</v>
      </c>
      <c r="P64" s="200">
        <v>9000</v>
      </c>
    </row>
    <row r="65" spans="2:16" ht="18" customHeight="1" thickBot="1" x14ac:dyDescent="0.3">
      <c r="B65" s="406"/>
      <c r="C65" s="111" t="s">
        <v>36</v>
      </c>
      <c r="D65" s="15" t="s">
        <v>37</v>
      </c>
      <c r="E65" s="12" t="s">
        <v>417</v>
      </c>
      <c r="I65" s="39" t="s">
        <v>199</v>
      </c>
      <c r="N65" s="172" t="s">
        <v>508</v>
      </c>
      <c r="P65" s="142">
        <v>0</v>
      </c>
    </row>
    <row r="66" spans="2:16" ht="18" customHeight="1" x14ac:dyDescent="0.25">
      <c r="B66" s="406"/>
      <c r="C66" s="36" t="s">
        <v>110</v>
      </c>
      <c r="D66" s="15" t="s">
        <v>422</v>
      </c>
      <c r="E66" s="51" t="s">
        <v>418</v>
      </c>
      <c r="I66" s="33" t="s">
        <v>428</v>
      </c>
      <c r="N66" s="177" t="s">
        <v>363</v>
      </c>
      <c r="P66" s="142">
        <v>47800</v>
      </c>
    </row>
    <row r="67" spans="2:16" ht="18" customHeight="1" x14ac:dyDescent="0.25">
      <c r="B67" s="406"/>
      <c r="C67" s="36" t="s">
        <v>115</v>
      </c>
      <c r="D67" s="15" t="s">
        <v>423</v>
      </c>
      <c r="E67" s="51" t="s">
        <v>418</v>
      </c>
      <c r="I67" s="33" t="s">
        <v>429</v>
      </c>
      <c r="N67" s="181" t="s">
        <v>510</v>
      </c>
      <c r="P67" s="142">
        <v>20000</v>
      </c>
    </row>
    <row r="68" spans="2:16" ht="18" customHeight="1" x14ac:dyDescent="0.25">
      <c r="B68" s="406"/>
      <c r="C68" s="36" t="s">
        <v>119</v>
      </c>
      <c r="D68" s="15" t="s">
        <v>424</v>
      </c>
      <c r="E68" s="51" t="s">
        <v>418</v>
      </c>
      <c r="I68" s="33" t="s">
        <v>430</v>
      </c>
      <c r="P68" s="85">
        <f>SUM(P43:P67)</f>
        <v>384000</v>
      </c>
    </row>
    <row r="69" spans="2:16" ht="18" customHeight="1" x14ac:dyDescent="0.25">
      <c r="B69" s="406"/>
      <c r="C69" s="36" t="s">
        <v>123</v>
      </c>
      <c r="D69" s="15" t="s">
        <v>425</v>
      </c>
      <c r="E69" s="51" t="s">
        <v>418</v>
      </c>
      <c r="I69" s="33" t="s">
        <v>431</v>
      </c>
    </row>
    <row r="70" spans="2:16" ht="18" customHeight="1" x14ac:dyDescent="0.25">
      <c r="B70" s="406"/>
      <c r="C70" s="36" t="s">
        <v>127</v>
      </c>
      <c r="D70" s="15" t="s">
        <v>426</v>
      </c>
      <c r="E70" s="51" t="s">
        <v>418</v>
      </c>
      <c r="I70" s="33" t="s">
        <v>432</v>
      </c>
    </row>
    <row r="71" spans="2:16" ht="18" customHeight="1" thickBot="1" x14ac:dyDescent="0.3">
      <c r="B71" s="407"/>
      <c r="C71" s="55" t="s">
        <v>131</v>
      </c>
      <c r="D71" s="38" t="s">
        <v>427</v>
      </c>
      <c r="E71" s="54" t="s">
        <v>418</v>
      </c>
      <c r="F71" s="64"/>
      <c r="G71" s="64"/>
      <c r="I71" s="62" t="s">
        <v>433</v>
      </c>
    </row>
    <row r="72" spans="2:16" ht="18" customHeight="1" x14ac:dyDescent="0.25">
      <c r="B72" s="405" t="s">
        <v>41</v>
      </c>
      <c r="C72" s="18" t="s">
        <v>42</v>
      </c>
      <c r="D72" s="11" t="s">
        <v>43</v>
      </c>
      <c r="E72" s="9" t="s">
        <v>44</v>
      </c>
      <c r="I72" s="59" t="s">
        <v>204</v>
      </c>
    </row>
    <row r="73" spans="2:16" ht="18" customHeight="1" x14ac:dyDescent="0.25">
      <c r="B73" s="406"/>
      <c r="C73" s="48" t="s">
        <v>48</v>
      </c>
      <c r="D73" s="11" t="s">
        <v>49</v>
      </c>
      <c r="E73" s="49" t="s">
        <v>44</v>
      </c>
      <c r="I73" s="59" t="s">
        <v>207</v>
      </c>
    </row>
    <row r="74" spans="2:16" ht="18" customHeight="1" x14ac:dyDescent="0.25">
      <c r="B74" s="406"/>
      <c r="C74" s="18" t="s">
        <v>52</v>
      </c>
      <c r="D74" s="11" t="s">
        <v>53</v>
      </c>
      <c r="E74" s="12" t="s">
        <v>44</v>
      </c>
      <c r="I74" s="59" t="s">
        <v>210</v>
      </c>
    </row>
    <row r="75" spans="2:16" ht="18" customHeight="1" x14ac:dyDescent="0.25">
      <c r="B75" s="406"/>
      <c r="C75" s="18" t="s">
        <v>57</v>
      </c>
      <c r="D75" s="11" t="s">
        <v>58</v>
      </c>
      <c r="E75" s="12" t="s">
        <v>44</v>
      </c>
      <c r="I75" s="59" t="s">
        <v>213</v>
      </c>
    </row>
    <row r="76" spans="2:16" ht="18" customHeight="1" x14ac:dyDescent="0.25">
      <c r="B76" s="406"/>
      <c r="C76" s="18" t="s">
        <v>62</v>
      </c>
      <c r="D76" s="11" t="s">
        <v>63</v>
      </c>
      <c r="E76" s="12" t="s">
        <v>44</v>
      </c>
      <c r="I76" s="59" t="s">
        <v>216</v>
      </c>
    </row>
    <row r="77" spans="2:16" ht="18" customHeight="1" x14ac:dyDescent="0.25">
      <c r="B77" s="406"/>
      <c r="C77" s="18" t="s">
        <v>66</v>
      </c>
      <c r="D77" s="11" t="s">
        <v>67</v>
      </c>
      <c r="E77" s="12" t="s">
        <v>44</v>
      </c>
      <c r="I77" s="59" t="s">
        <v>218</v>
      </c>
    </row>
    <row r="78" spans="2:16" ht="18" customHeight="1" x14ac:dyDescent="0.25">
      <c r="B78" s="406"/>
      <c r="C78" s="18" t="s">
        <v>71</v>
      </c>
      <c r="D78" s="11" t="s">
        <v>72</v>
      </c>
      <c r="E78" s="12" t="s">
        <v>44</v>
      </c>
      <c r="I78" s="59" t="s">
        <v>219</v>
      </c>
    </row>
    <row r="79" spans="2:16" ht="18" customHeight="1" x14ac:dyDescent="0.25">
      <c r="B79" s="406"/>
      <c r="C79" s="18" t="s">
        <v>76</v>
      </c>
      <c r="D79" s="11" t="s">
        <v>77</v>
      </c>
      <c r="E79" s="12" t="s">
        <v>44</v>
      </c>
      <c r="I79" s="59" t="s">
        <v>220</v>
      </c>
    </row>
    <row r="80" spans="2:16" ht="18" customHeight="1" thickBot="1" x14ac:dyDescent="0.3">
      <c r="B80" s="407"/>
      <c r="C80" s="50" t="s">
        <v>82</v>
      </c>
      <c r="D80" s="13" t="s">
        <v>83</v>
      </c>
      <c r="E80" s="14" t="s">
        <v>44</v>
      </c>
      <c r="I80" s="61" t="s">
        <v>222</v>
      </c>
    </row>
    <row r="81" spans="2:10" ht="18" customHeight="1" x14ac:dyDescent="0.25">
      <c r="B81" s="405" t="s">
        <v>89</v>
      </c>
      <c r="C81" s="36" t="s">
        <v>90</v>
      </c>
      <c r="D81" s="15" t="s">
        <v>91</v>
      </c>
      <c r="E81" s="51" t="s">
        <v>92</v>
      </c>
      <c r="G81" s="11" t="s">
        <v>87</v>
      </c>
      <c r="I81" s="33" t="s">
        <v>224</v>
      </c>
    </row>
    <row r="82" spans="2:10" ht="18" customHeight="1" x14ac:dyDescent="0.25">
      <c r="B82" s="406"/>
      <c r="C82" s="36" t="s">
        <v>95</v>
      </c>
      <c r="D82" s="15" t="s">
        <v>96</v>
      </c>
      <c r="E82" s="51" t="s">
        <v>92</v>
      </c>
      <c r="G82" s="11" t="s">
        <v>87</v>
      </c>
      <c r="I82" s="33" t="s">
        <v>225</v>
      </c>
    </row>
    <row r="83" spans="2:10" ht="18" customHeight="1" x14ac:dyDescent="0.25">
      <c r="B83" s="406"/>
      <c r="C83" s="36" t="s">
        <v>99</v>
      </c>
      <c r="D83" s="15" t="s">
        <v>100</v>
      </c>
      <c r="E83" s="51" t="s">
        <v>92</v>
      </c>
      <c r="G83" s="11" t="s">
        <v>87</v>
      </c>
      <c r="I83" s="33" t="s">
        <v>226</v>
      </c>
    </row>
    <row r="84" spans="2:10" ht="18" customHeight="1" x14ac:dyDescent="0.25">
      <c r="B84" s="406"/>
      <c r="C84" s="36" t="s">
        <v>380</v>
      </c>
      <c r="D84" s="15" t="s">
        <v>103</v>
      </c>
      <c r="E84" s="51" t="s">
        <v>92</v>
      </c>
      <c r="G84" s="11" t="s">
        <v>87</v>
      </c>
      <c r="I84" s="33" t="s">
        <v>227</v>
      </c>
    </row>
    <row r="85" spans="2:10" ht="18" customHeight="1" thickBot="1" x14ac:dyDescent="0.3">
      <c r="B85" s="407"/>
      <c r="C85" s="53" t="s">
        <v>106</v>
      </c>
      <c r="D85" s="38" t="s">
        <v>107</v>
      </c>
      <c r="E85" s="54" t="s">
        <v>92</v>
      </c>
      <c r="G85" s="11" t="s">
        <v>87</v>
      </c>
      <c r="I85" s="62" t="s">
        <v>228</v>
      </c>
    </row>
    <row r="86" spans="2:10" ht="18" customHeight="1" x14ac:dyDescent="0.25">
      <c r="B86" s="405" t="s">
        <v>134</v>
      </c>
      <c r="C86" s="36" t="s">
        <v>135</v>
      </c>
      <c r="D86" s="11" t="s">
        <v>111</v>
      </c>
      <c r="E86" s="51" t="s">
        <v>329</v>
      </c>
      <c r="F86" s="11">
        <v>1</v>
      </c>
      <c r="G86" s="15" t="s">
        <v>136</v>
      </c>
      <c r="I86" s="33" t="s">
        <v>434</v>
      </c>
    </row>
    <row r="87" spans="2:10" ht="18" customHeight="1" x14ac:dyDescent="0.25">
      <c r="B87" s="406"/>
      <c r="C87" s="36" t="s">
        <v>139</v>
      </c>
      <c r="D87" s="11" t="s">
        <v>116</v>
      </c>
      <c r="E87" s="51" t="s">
        <v>329</v>
      </c>
      <c r="F87" s="11">
        <v>2</v>
      </c>
      <c r="G87" s="15" t="s">
        <v>140</v>
      </c>
      <c r="I87" s="33" t="s">
        <v>435</v>
      </c>
    </row>
    <row r="88" spans="2:10" ht="18" customHeight="1" x14ac:dyDescent="0.25">
      <c r="B88" s="406"/>
      <c r="C88" s="36" t="s">
        <v>143</v>
      </c>
      <c r="D88" s="11" t="s">
        <v>120</v>
      </c>
      <c r="E88" s="51" t="s">
        <v>329</v>
      </c>
      <c r="F88" s="11">
        <v>3</v>
      </c>
      <c r="G88" s="15" t="s">
        <v>144</v>
      </c>
      <c r="I88" s="33" t="s">
        <v>436</v>
      </c>
    </row>
    <row r="89" spans="2:10" ht="18" customHeight="1" x14ac:dyDescent="0.25">
      <c r="B89" s="406"/>
      <c r="C89" s="36" t="s">
        <v>147</v>
      </c>
      <c r="D89" s="11" t="s">
        <v>124</v>
      </c>
      <c r="E89" s="51" t="s">
        <v>329</v>
      </c>
      <c r="F89" s="11">
        <v>4</v>
      </c>
      <c r="G89" s="15" t="s">
        <v>148</v>
      </c>
      <c r="I89" s="33" t="s">
        <v>437</v>
      </c>
    </row>
    <row r="90" spans="2:10" ht="18" customHeight="1" thickBot="1" x14ac:dyDescent="0.3">
      <c r="B90" s="407"/>
      <c r="C90" s="53" t="s">
        <v>151</v>
      </c>
      <c r="D90" s="11" t="s">
        <v>128</v>
      </c>
      <c r="E90" s="54" t="s">
        <v>329</v>
      </c>
      <c r="F90" s="13">
        <v>5</v>
      </c>
      <c r="G90" s="38" t="s">
        <v>152</v>
      </c>
      <c r="I90" s="63" t="s">
        <v>438</v>
      </c>
    </row>
    <row r="91" spans="2:10" ht="18" customHeight="1" x14ac:dyDescent="0.25">
      <c r="B91" s="426" t="s">
        <v>154</v>
      </c>
      <c r="C91" s="116" t="s">
        <v>155</v>
      </c>
      <c r="D91" s="117" t="s">
        <v>156</v>
      </c>
      <c r="E91" s="113" t="s">
        <v>157</v>
      </c>
      <c r="F91" s="118">
        <v>1</v>
      </c>
      <c r="G91" s="118" t="s">
        <v>158</v>
      </c>
      <c r="I91" s="33" t="s">
        <v>240</v>
      </c>
    </row>
    <row r="92" spans="2:10" ht="18" customHeight="1" x14ac:dyDescent="0.25">
      <c r="B92" s="427"/>
      <c r="C92" s="112" t="s">
        <v>162</v>
      </c>
      <c r="D92" s="119" t="s">
        <v>163</v>
      </c>
      <c r="E92" s="113" t="s">
        <v>157</v>
      </c>
      <c r="F92" s="118">
        <v>2</v>
      </c>
      <c r="G92" s="118" t="s">
        <v>164</v>
      </c>
      <c r="I92" s="33" t="s">
        <v>241</v>
      </c>
    </row>
    <row r="93" spans="2:10" ht="18" customHeight="1" thickBot="1" x14ac:dyDescent="0.3">
      <c r="B93" s="428"/>
      <c r="C93" s="120" t="s">
        <v>167</v>
      </c>
      <c r="D93" s="121" t="s">
        <v>168</v>
      </c>
      <c r="E93" s="114" t="s">
        <v>157</v>
      </c>
      <c r="F93" s="122">
        <v>3</v>
      </c>
      <c r="G93" s="122" t="s">
        <v>169</v>
      </c>
      <c r="I93" s="33" t="s">
        <v>243</v>
      </c>
    </row>
    <row r="96" spans="2:10" ht="18" customHeight="1" thickBot="1" x14ac:dyDescent="0.3">
      <c r="C96" s="57">
        <v>1</v>
      </c>
      <c r="D96" s="57">
        <v>2</v>
      </c>
      <c r="G96" s="40" t="s">
        <v>379</v>
      </c>
      <c r="H96" s="40"/>
      <c r="J96" s="60" t="s">
        <v>242</v>
      </c>
    </row>
    <row r="97" spans="3:10" ht="18" customHeight="1" x14ac:dyDescent="0.25">
      <c r="C97" s="58" t="s">
        <v>179</v>
      </c>
      <c r="D97" s="58"/>
      <c r="G97" s="18" t="s">
        <v>301</v>
      </c>
      <c r="J97" s="36" t="s">
        <v>244</v>
      </c>
    </row>
    <row r="98" spans="3:10" ht="18" customHeight="1" x14ac:dyDescent="0.25">
      <c r="C98" s="36" t="s">
        <v>184</v>
      </c>
      <c r="D98" s="36" t="s">
        <v>185</v>
      </c>
      <c r="G98" s="18" t="s">
        <v>337</v>
      </c>
      <c r="J98" s="36" t="s">
        <v>245</v>
      </c>
    </row>
    <row r="99" spans="3:10" ht="18" customHeight="1" x14ac:dyDescent="0.25">
      <c r="C99" s="36" t="s">
        <v>190</v>
      </c>
      <c r="D99" s="36" t="s">
        <v>191</v>
      </c>
      <c r="G99" s="18" t="s">
        <v>338</v>
      </c>
      <c r="J99" s="36" t="s">
        <v>246</v>
      </c>
    </row>
    <row r="100" spans="3:10" ht="18" customHeight="1" x14ac:dyDescent="0.25">
      <c r="C100" s="36" t="s">
        <v>196</v>
      </c>
      <c r="D100" s="36" t="s">
        <v>197</v>
      </c>
      <c r="G100" s="18" t="s">
        <v>342</v>
      </c>
      <c r="J100" s="36" t="s">
        <v>247</v>
      </c>
    </row>
    <row r="101" spans="3:10" ht="18" customHeight="1" x14ac:dyDescent="0.25">
      <c r="C101" s="18" t="s">
        <v>589</v>
      </c>
      <c r="D101" s="18" t="s">
        <v>590</v>
      </c>
      <c r="G101" s="18" t="s">
        <v>340</v>
      </c>
      <c r="J101" s="36" t="s">
        <v>248</v>
      </c>
    </row>
    <row r="102" spans="3:10" ht="18" customHeight="1" x14ac:dyDescent="0.25">
      <c r="C102" s="36" t="s">
        <v>202</v>
      </c>
      <c r="D102" s="36" t="s">
        <v>87</v>
      </c>
      <c r="G102" s="18" t="s">
        <v>341</v>
      </c>
      <c r="J102" s="36" t="s">
        <v>249</v>
      </c>
    </row>
    <row r="103" spans="3:10" ht="18" customHeight="1" x14ac:dyDescent="0.25">
      <c r="G103" s="18" t="s">
        <v>339</v>
      </c>
      <c r="J103" s="36" t="s">
        <v>250</v>
      </c>
    </row>
    <row r="104" spans="3:10" ht="18" customHeight="1" x14ac:dyDescent="0.25">
      <c r="J104" s="36" t="s">
        <v>251</v>
      </c>
    </row>
    <row r="105" spans="3:10" ht="18" customHeight="1" x14ac:dyDescent="0.25">
      <c r="C105" s="58" t="s">
        <v>402</v>
      </c>
      <c r="D105" s="58"/>
      <c r="J105" s="36" t="s">
        <v>252</v>
      </c>
    </row>
    <row r="106" spans="3:10" ht="18" customHeight="1" x14ac:dyDescent="0.25">
      <c r="C106" s="36" t="s">
        <v>229</v>
      </c>
      <c r="D106" s="36" t="s">
        <v>15</v>
      </c>
      <c r="J106" s="36" t="s">
        <v>253</v>
      </c>
    </row>
    <row r="107" spans="3:10" ht="18" customHeight="1" thickBot="1" x14ac:dyDescent="0.3">
      <c r="C107" s="36" t="s">
        <v>230</v>
      </c>
      <c r="D107" s="36" t="s">
        <v>44</v>
      </c>
      <c r="G107" s="40" t="s">
        <v>221</v>
      </c>
      <c r="H107" s="40"/>
      <c r="J107" s="36" t="s">
        <v>254</v>
      </c>
    </row>
    <row r="108" spans="3:10" ht="18" customHeight="1" x14ac:dyDescent="0.25">
      <c r="C108" s="36" t="s">
        <v>231</v>
      </c>
      <c r="D108" s="36" t="s">
        <v>92</v>
      </c>
      <c r="G108" s="18" t="s">
        <v>223</v>
      </c>
      <c r="J108" s="36" t="s">
        <v>255</v>
      </c>
    </row>
    <row r="109" spans="3:10" ht="18" customHeight="1" x14ac:dyDescent="0.25">
      <c r="C109" s="36" t="s">
        <v>232</v>
      </c>
      <c r="D109" s="36" t="s">
        <v>112</v>
      </c>
      <c r="G109" s="18" t="s">
        <v>373</v>
      </c>
    </row>
    <row r="110" spans="3:10" ht="18" customHeight="1" x14ac:dyDescent="0.25">
      <c r="C110" s="36" t="s">
        <v>233</v>
      </c>
      <c r="D110" s="36" t="s">
        <v>234</v>
      </c>
      <c r="G110" s="18" t="s">
        <v>374</v>
      </c>
      <c r="J110" s="16" t="s">
        <v>180</v>
      </c>
    </row>
    <row r="111" spans="3:10" ht="18" customHeight="1" x14ac:dyDescent="0.25">
      <c r="C111" s="36" t="s">
        <v>235</v>
      </c>
      <c r="D111" s="36" t="s">
        <v>236</v>
      </c>
      <c r="G111" s="18" t="s">
        <v>375</v>
      </c>
      <c r="J111" s="16" t="s">
        <v>186</v>
      </c>
    </row>
    <row r="112" spans="3:10" ht="18" customHeight="1" x14ac:dyDescent="0.25">
      <c r="C112" s="36" t="s">
        <v>237</v>
      </c>
      <c r="D112" s="36" t="s">
        <v>238</v>
      </c>
      <c r="G112" s="18" t="s">
        <v>376</v>
      </c>
      <c r="J112" s="16" t="s">
        <v>192</v>
      </c>
    </row>
    <row r="113" spans="3:11" ht="18" customHeight="1" x14ac:dyDescent="0.25">
      <c r="C113" s="36" t="s">
        <v>239</v>
      </c>
      <c r="D113" s="36" t="s">
        <v>130</v>
      </c>
      <c r="G113" s="18" t="s">
        <v>377</v>
      </c>
      <c r="J113" s="16" t="s">
        <v>198</v>
      </c>
    </row>
    <row r="114" spans="3:11" ht="18" customHeight="1" x14ac:dyDescent="0.25">
      <c r="J114" s="16" t="s">
        <v>203</v>
      </c>
    </row>
    <row r="117" spans="3:11" ht="18" customHeight="1" thickBot="1" x14ac:dyDescent="0.3">
      <c r="C117" s="415" t="s">
        <v>4</v>
      </c>
      <c r="D117" s="415"/>
      <c r="E117" s="415"/>
      <c r="G117" s="52" t="s">
        <v>257</v>
      </c>
      <c r="H117" s="52"/>
      <c r="I117" s="52"/>
      <c r="J117" s="52"/>
      <c r="K117" s="52"/>
    </row>
    <row r="120" spans="3:11" ht="18" customHeight="1" thickBot="1" x14ac:dyDescent="0.3">
      <c r="C120" s="98" t="s">
        <v>16</v>
      </c>
      <c r="D120" s="99" t="s">
        <v>17</v>
      </c>
      <c r="E120" s="99" t="s">
        <v>18</v>
      </c>
      <c r="G120" s="86" t="s">
        <v>396</v>
      </c>
      <c r="H120" s="86"/>
      <c r="I120" s="86"/>
      <c r="J120" s="86"/>
      <c r="K120" s="86"/>
    </row>
    <row r="121" spans="3:11" ht="18" customHeight="1" x14ac:dyDescent="0.25">
      <c r="C121" s="10" t="s">
        <v>25</v>
      </c>
      <c r="D121" s="73">
        <f>D138*(1+$C$140)</f>
        <v>6.572000000000001</v>
      </c>
      <c r="E121" s="73">
        <f>E138*(1+$C$140)</f>
        <v>25.5566</v>
      </c>
    </row>
    <row r="122" spans="3:11" ht="18" customHeight="1" x14ac:dyDescent="0.25">
      <c r="C122" s="131" t="s">
        <v>30</v>
      </c>
      <c r="D122" s="73">
        <f>D139*(1+$C$140)</f>
        <v>4.8124000000000002</v>
      </c>
      <c r="E122" s="73">
        <f t="shared" ref="E122:E124" si="7">E139*(1+$C$140)</f>
        <v>37.407400000000003</v>
      </c>
      <c r="G122" s="416" t="s">
        <v>365</v>
      </c>
      <c r="H122" s="417"/>
      <c r="I122" s="422" t="s">
        <v>366</v>
      </c>
      <c r="J122" s="422" t="s">
        <v>367</v>
      </c>
      <c r="K122" s="433" t="s">
        <v>368</v>
      </c>
    </row>
    <row r="123" spans="3:11" ht="18" customHeight="1" x14ac:dyDescent="0.25">
      <c r="C123" s="131" t="s">
        <v>38</v>
      </c>
      <c r="D123" s="73">
        <f>D140*(1+$C$140)</f>
        <v>4.3672000000000004</v>
      </c>
      <c r="E123" s="73">
        <f t="shared" si="7"/>
        <v>20.882000000000001</v>
      </c>
      <c r="G123" s="418"/>
      <c r="H123" s="419"/>
      <c r="I123" s="423"/>
      <c r="J123" s="423"/>
      <c r="K123" s="434"/>
    </row>
    <row r="124" spans="3:11" ht="18" customHeight="1" thickBot="1" x14ac:dyDescent="0.3">
      <c r="C124" s="131" t="s">
        <v>45</v>
      </c>
      <c r="D124" s="73">
        <f>D141*(1+$C$140)</f>
        <v>2.8302</v>
      </c>
      <c r="E124" s="73">
        <f t="shared" si="7"/>
        <v>19.949200000000001</v>
      </c>
      <c r="G124" s="420"/>
      <c r="H124" s="421"/>
      <c r="I124" s="424"/>
      <c r="J124" s="424"/>
      <c r="K124" s="435"/>
    </row>
    <row r="125" spans="3:11" ht="18" customHeight="1" x14ac:dyDescent="0.25">
      <c r="C125" s="136" t="s">
        <v>420</v>
      </c>
      <c r="D125" s="137">
        <v>0</v>
      </c>
      <c r="E125" s="137">
        <v>0</v>
      </c>
      <c r="G125" s="409" t="s">
        <v>369</v>
      </c>
      <c r="H125" s="410"/>
      <c r="I125" s="87">
        <v>900</v>
      </c>
      <c r="J125" s="87">
        <v>800</v>
      </c>
      <c r="K125" s="87">
        <v>750</v>
      </c>
    </row>
    <row r="126" spans="3:11" ht="18" customHeight="1" x14ac:dyDescent="0.25">
      <c r="C126" s="36"/>
      <c r="D126" s="36"/>
      <c r="E126" s="36"/>
      <c r="G126" s="411" t="s">
        <v>370</v>
      </c>
      <c r="H126" s="412"/>
      <c r="I126" s="88">
        <v>800</v>
      </c>
      <c r="J126" s="88">
        <v>700</v>
      </c>
      <c r="K126" s="88">
        <v>650</v>
      </c>
    </row>
    <row r="127" spans="3:11" ht="18" customHeight="1" x14ac:dyDescent="0.25">
      <c r="G127" s="404" t="s">
        <v>371</v>
      </c>
      <c r="H127" s="413"/>
      <c r="I127" s="414">
        <v>600</v>
      </c>
      <c r="J127" s="414">
        <v>515</v>
      </c>
      <c r="K127" s="432">
        <v>455</v>
      </c>
    </row>
    <row r="128" spans="3:11" ht="18" customHeight="1" x14ac:dyDescent="0.25">
      <c r="C128" s="425" t="s">
        <v>54</v>
      </c>
      <c r="D128" s="425"/>
      <c r="E128" s="36"/>
      <c r="F128" s="36"/>
      <c r="G128" s="404"/>
      <c r="H128" s="413"/>
      <c r="I128" s="414"/>
      <c r="J128" s="414"/>
      <c r="K128" s="432"/>
    </row>
    <row r="129" spans="3:11" ht="18" customHeight="1" thickBot="1" x14ac:dyDescent="0.3">
      <c r="C129" s="138" t="s">
        <v>59</v>
      </c>
      <c r="D129" s="139">
        <v>1</v>
      </c>
      <c r="E129" s="36"/>
      <c r="F129" s="36"/>
      <c r="G129" s="101" t="s">
        <v>372</v>
      </c>
      <c r="H129" s="102"/>
      <c r="I129" s="89">
        <v>425</v>
      </c>
      <c r="J129" s="89">
        <v>380</v>
      </c>
      <c r="K129" s="89">
        <v>335</v>
      </c>
    </row>
    <row r="130" spans="3:11" ht="18" customHeight="1" x14ac:dyDescent="0.25">
      <c r="C130" s="138" t="s">
        <v>64</v>
      </c>
      <c r="D130" s="140">
        <v>0.8</v>
      </c>
      <c r="E130" s="36"/>
      <c r="F130" s="36"/>
    </row>
    <row r="131" spans="3:11" ht="18" customHeight="1" x14ac:dyDescent="0.25">
      <c r="C131" s="138" t="s">
        <v>68</v>
      </c>
      <c r="D131" s="139">
        <v>0.6</v>
      </c>
      <c r="E131" s="36"/>
      <c r="F131" s="36"/>
    </row>
    <row r="132" spans="3:11" ht="18" customHeight="1" thickBot="1" x14ac:dyDescent="0.3">
      <c r="C132" s="138" t="s">
        <v>73</v>
      </c>
      <c r="D132" s="139">
        <v>0.4</v>
      </c>
      <c r="E132" s="36"/>
      <c r="F132" s="36"/>
      <c r="G132" s="86" t="s">
        <v>397</v>
      </c>
      <c r="H132" s="86"/>
      <c r="I132" s="86"/>
      <c r="J132" s="86"/>
      <c r="K132" s="86"/>
    </row>
    <row r="133" spans="3:11" ht="18" customHeight="1" x14ac:dyDescent="0.25">
      <c r="C133" s="138" t="s">
        <v>78</v>
      </c>
      <c r="D133" s="139">
        <v>0.2</v>
      </c>
      <c r="E133" s="36"/>
      <c r="F133" s="36"/>
    </row>
    <row r="134" spans="3:11" ht="18" customHeight="1" thickBot="1" x14ac:dyDescent="0.3">
      <c r="C134" s="138" t="s">
        <v>84</v>
      </c>
      <c r="D134" s="139">
        <v>0</v>
      </c>
      <c r="E134" s="36"/>
      <c r="F134" s="36"/>
      <c r="G134" s="429" t="s">
        <v>398</v>
      </c>
      <c r="H134" s="429"/>
      <c r="I134" s="429"/>
      <c r="J134" s="429"/>
      <c r="K134" s="90" t="s">
        <v>399</v>
      </c>
    </row>
    <row r="135" spans="3:11" ht="18" customHeight="1" x14ac:dyDescent="0.25">
      <c r="C135" s="36"/>
      <c r="D135" s="36"/>
      <c r="E135" s="36"/>
      <c r="F135" s="36"/>
      <c r="G135" s="430" t="s">
        <v>400</v>
      </c>
      <c r="H135" s="430"/>
      <c r="I135" s="430"/>
      <c r="J135" s="430"/>
      <c r="K135" s="431">
        <v>88.38</v>
      </c>
    </row>
    <row r="136" spans="3:11" ht="18" customHeight="1" x14ac:dyDescent="0.25">
      <c r="C136" s="36"/>
      <c r="D136" s="36"/>
      <c r="E136" s="36"/>
      <c r="F136" s="36"/>
      <c r="G136" s="430"/>
      <c r="H136" s="430"/>
      <c r="I136" s="430"/>
      <c r="J136" s="430"/>
      <c r="K136" s="431"/>
    </row>
    <row r="137" spans="3:11" ht="18" customHeight="1" thickBot="1" x14ac:dyDescent="0.3">
      <c r="C137" s="36"/>
      <c r="D137" s="100" t="s">
        <v>403</v>
      </c>
      <c r="E137" s="100"/>
      <c r="F137" s="36"/>
      <c r="G137" s="404" t="s">
        <v>401</v>
      </c>
      <c r="H137" s="404"/>
      <c r="I137" s="404"/>
      <c r="J137" s="404"/>
      <c r="K137" s="141">
        <v>95</v>
      </c>
    </row>
    <row r="138" spans="3:11" ht="18" customHeight="1" x14ac:dyDescent="0.25">
      <c r="C138" s="36"/>
      <c r="D138" s="47">
        <v>6.2</v>
      </c>
      <c r="E138" s="47">
        <v>24.11</v>
      </c>
      <c r="F138" s="36"/>
    </row>
    <row r="139" spans="3:11" ht="18" customHeight="1" x14ac:dyDescent="0.25">
      <c r="C139" s="108" t="s">
        <v>404</v>
      </c>
      <c r="D139" s="47">
        <v>4.54</v>
      </c>
      <c r="E139" s="47">
        <v>35.29</v>
      </c>
      <c r="F139" s="36"/>
    </row>
    <row r="140" spans="3:11" ht="18" customHeight="1" thickBot="1" x14ac:dyDescent="0.3">
      <c r="C140" s="103">
        <v>0.06</v>
      </c>
      <c r="D140" s="47">
        <v>4.12</v>
      </c>
      <c r="E140" s="47">
        <v>19.7</v>
      </c>
      <c r="G140" s="104" t="s">
        <v>378</v>
      </c>
      <c r="H140" s="104"/>
      <c r="I140" s="105">
        <v>1000</v>
      </c>
      <c r="J140" s="106">
        <v>22</v>
      </c>
      <c r="K140" s="107">
        <f>I140/J140</f>
        <v>45.454545454545453</v>
      </c>
    </row>
    <row r="141" spans="3:11" ht="18" customHeight="1" x14ac:dyDescent="0.25">
      <c r="C141" s="36"/>
      <c r="D141" s="47">
        <v>2.67</v>
      </c>
      <c r="E141" s="47">
        <v>18.82</v>
      </c>
    </row>
    <row r="142" spans="3:11" ht="18" customHeight="1" x14ac:dyDescent="0.25">
      <c r="C142" s="36"/>
      <c r="D142" s="36"/>
    </row>
    <row r="154" spans="8:10" ht="18" customHeight="1" x14ac:dyDescent="0.25">
      <c r="H154"/>
      <c r="I154"/>
      <c r="J154"/>
    </row>
    <row r="155" spans="8:10" ht="18" customHeight="1" x14ac:dyDescent="0.25">
      <c r="H155"/>
      <c r="I155"/>
      <c r="J155"/>
    </row>
    <row r="156" spans="8:10" ht="18" customHeight="1" x14ac:dyDescent="0.25">
      <c r="H156"/>
      <c r="I156"/>
      <c r="J156"/>
    </row>
    <row r="157" spans="8:10" ht="18" customHeight="1" x14ac:dyDescent="0.25">
      <c r="H157"/>
      <c r="I157"/>
      <c r="J157"/>
    </row>
    <row r="158" spans="8:10" ht="18" customHeight="1" x14ac:dyDescent="0.25">
      <c r="H158"/>
      <c r="I158"/>
      <c r="J158"/>
    </row>
    <row r="159" spans="8:10" ht="18" customHeight="1" x14ac:dyDescent="0.25">
      <c r="H159"/>
      <c r="I159"/>
      <c r="J159"/>
    </row>
  </sheetData>
  <mergeCells count="34">
    <mergeCell ref="P4:Y4"/>
    <mergeCell ref="P5:Q5"/>
    <mergeCell ref="R5:S5"/>
    <mergeCell ref="T5:U5"/>
    <mergeCell ref="V5:W5"/>
    <mergeCell ref="X5:Y5"/>
    <mergeCell ref="Z4:AI4"/>
    <mergeCell ref="Z5:AA5"/>
    <mergeCell ref="AB5:AC5"/>
    <mergeCell ref="AD5:AE5"/>
    <mergeCell ref="AF5:AG5"/>
    <mergeCell ref="AH5:AI5"/>
    <mergeCell ref="B91:B93"/>
    <mergeCell ref="G134:J134"/>
    <mergeCell ref="G135:J136"/>
    <mergeCell ref="K135:K136"/>
    <mergeCell ref="K127:K128"/>
    <mergeCell ref="K122:K124"/>
    <mergeCell ref="C2:C3"/>
    <mergeCell ref="G137:J137"/>
    <mergeCell ref="B72:B80"/>
    <mergeCell ref="B81:B85"/>
    <mergeCell ref="B62:B71"/>
    <mergeCell ref="G125:H125"/>
    <mergeCell ref="G126:H126"/>
    <mergeCell ref="G127:H128"/>
    <mergeCell ref="I127:I128"/>
    <mergeCell ref="J127:J128"/>
    <mergeCell ref="C117:E117"/>
    <mergeCell ref="G122:H124"/>
    <mergeCell ref="I122:I124"/>
    <mergeCell ref="J122:J124"/>
    <mergeCell ref="C128:D128"/>
    <mergeCell ref="B86:B90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M184"/>
  <sheetViews>
    <sheetView showGridLines="0" tabSelected="1" zoomScale="120" zoomScaleNormal="120" workbookViewId="0"/>
  </sheetViews>
  <sheetFormatPr defaultRowHeight="15" x14ac:dyDescent="0.25"/>
  <cols>
    <col min="1" max="1" width="2.28515625" style="398" customWidth="1"/>
    <col min="2" max="2" width="24.28515625" style="398" customWidth="1"/>
    <col min="3" max="10" width="15.7109375" style="398" customWidth="1"/>
    <col min="11" max="11" width="18.7109375" style="398" customWidth="1"/>
    <col min="12" max="12" width="2.28515625" style="398" customWidth="1"/>
    <col min="13" max="13" width="18.7109375" style="398" customWidth="1"/>
    <col min="14" max="14" width="9.140625" style="398" customWidth="1"/>
    <col min="15" max="15" width="36.7109375" style="398" customWidth="1"/>
    <col min="16" max="16" width="9.140625" style="398"/>
    <col min="17" max="20" width="11" style="398" customWidth="1"/>
    <col min="21" max="21" width="12.28515625" style="398" customWidth="1"/>
    <col min="22" max="22" width="14" style="398" customWidth="1"/>
    <col min="23" max="23" width="14.5703125" style="398" customWidth="1"/>
    <col min="24" max="24" width="13.85546875" style="398" customWidth="1"/>
    <col min="25" max="25" width="27" style="398" customWidth="1"/>
    <col min="26" max="26" width="5.85546875" style="398" customWidth="1"/>
    <col min="27" max="27" width="27" style="398" customWidth="1"/>
    <col min="28" max="28" width="5.85546875" style="398" customWidth="1"/>
    <col min="29" max="29" width="12.28515625" style="398" customWidth="1"/>
    <col min="30" max="32" width="15.42578125" style="398" customWidth="1"/>
    <col min="33" max="33" width="35" style="398" customWidth="1"/>
    <col min="34" max="34" width="59.85546875" style="398" customWidth="1"/>
    <col min="35" max="16384" width="9.140625" style="398"/>
  </cols>
  <sheetData>
    <row r="1" spans="1:12" x14ac:dyDescent="0.25">
      <c r="A1"/>
      <c r="B1" s="377"/>
      <c r="C1" s="377"/>
      <c r="D1" s="377"/>
      <c r="E1" s="377"/>
      <c r="F1" s="377"/>
      <c r="G1" s="377"/>
      <c r="H1" s="377"/>
      <c r="I1" s="377"/>
      <c r="J1"/>
      <c r="K1"/>
      <c r="L1" s="394"/>
    </row>
    <row r="2" spans="1:12" ht="23.25" x14ac:dyDescent="0.35">
      <c r="A2"/>
      <c r="B2" s="443" t="s">
        <v>554</v>
      </c>
      <c r="C2" s="443"/>
      <c r="D2" s="443"/>
      <c r="E2" s="443"/>
      <c r="F2" s="443"/>
      <c r="G2" s="443"/>
      <c r="H2" s="443"/>
      <c r="I2" s="443"/>
      <c r="J2" s="443"/>
      <c r="K2" s="443"/>
      <c r="L2" s="394"/>
    </row>
    <row r="3" spans="1:12" ht="23.25" x14ac:dyDescent="0.35">
      <c r="A3"/>
      <c r="B3" s="444" t="s">
        <v>555</v>
      </c>
      <c r="C3" s="444"/>
      <c r="D3" s="444"/>
      <c r="E3" s="444"/>
      <c r="F3" s="444"/>
      <c r="G3" s="444"/>
      <c r="H3" s="444"/>
      <c r="I3" s="444"/>
      <c r="J3" s="444"/>
      <c r="K3" s="444"/>
      <c r="L3" s="394"/>
    </row>
    <row r="4" spans="1:12" ht="15.75" thickBot="1" x14ac:dyDescent="0.3">
      <c r="A4"/>
      <c r="B4" s="445" t="s">
        <v>562</v>
      </c>
      <c r="C4" s="445"/>
      <c r="D4" s="445"/>
      <c r="E4" s="445"/>
      <c r="F4" s="445"/>
      <c r="G4" s="445"/>
      <c r="H4" s="445"/>
      <c r="I4" s="445"/>
      <c r="J4" s="445"/>
      <c r="K4" s="445"/>
      <c r="L4" s="394"/>
    </row>
    <row r="5" spans="1:12" x14ac:dyDescent="0.25">
      <c r="A5"/>
      <c r="B5"/>
      <c r="C5"/>
      <c r="D5"/>
      <c r="E5"/>
      <c r="F5"/>
      <c r="G5"/>
      <c r="H5"/>
      <c r="I5"/>
      <c r="J5"/>
      <c r="K5"/>
      <c r="L5" s="394"/>
    </row>
    <row r="6" spans="1:12" ht="19.5" thickBot="1" x14ac:dyDescent="0.35">
      <c r="A6"/>
      <c r="B6" s="204" t="s">
        <v>531</v>
      </c>
      <c r="C6" s="204"/>
      <c r="D6"/>
      <c r="E6"/>
      <c r="F6"/>
      <c r="G6"/>
      <c r="H6"/>
      <c r="I6"/>
      <c r="J6"/>
      <c r="K6"/>
      <c r="L6" s="394"/>
    </row>
    <row r="7" spans="1:12" x14ac:dyDescent="0.25">
      <c r="A7"/>
      <c r="B7"/>
      <c r="C7"/>
      <c r="D7"/>
      <c r="E7"/>
      <c r="F7"/>
      <c r="G7"/>
      <c r="H7"/>
      <c r="I7"/>
      <c r="J7"/>
      <c r="K7"/>
      <c r="L7" s="394"/>
    </row>
    <row r="8" spans="1:12" x14ac:dyDescent="0.25">
      <c r="A8"/>
      <c r="B8" t="s">
        <v>532</v>
      </c>
      <c r="C8"/>
      <c r="D8"/>
      <c r="E8"/>
      <c r="F8"/>
      <c r="G8"/>
      <c r="H8"/>
      <c r="I8"/>
      <c r="J8"/>
      <c r="K8"/>
      <c r="L8" s="394"/>
    </row>
    <row r="9" spans="1:12" x14ac:dyDescent="0.25">
      <c r="A9"/>
      <c r="B9"/>
      <c r="C9"/>
      <c r="D9"/>
      <c r="E9"/>
      <c r="F9"/>
      <c r="G9"/>
      <c r="H9"/>
      <c r="I9"/>
      <c r="J9"/>
      <c r="K9"/>
      <c r="L9" s="394"/>
    </row>
    <row r="10" spans="1:12" ht="19.5" thickBot="1" x14ac:dyDescent="0.35">
      <c r="A10"/>
      <c r="B10" s="205" t="s">
        <v>556</v>
      </c>
      <c r="C10" s="205"/>
      <c r="D10"/>
      <c r="E10"/>
      <c r="F10"/>
      <c r="G10"/>
      <c r="H10"/>
      <c r="I10"/>
      <c r="J10"/>
      <c r="K10"/>
      <c r="L10" s="394"/>
    </row>
    <row r="11" spans="1:12" x14ac:dyDescent="0.25">
      <c r="A11"/>
      <c r="B11"/>
      <c r="C11"/>
      <c r="D11"/>
      <c r="E11"/>
      <c r="F11"/>
      <c r="G11"/>
      <c r="H11"/>
      <c r="I11"/>
      <c r="J11"/>
      <c r="K11"/>
      <c r="L11" s="394"/>
    </row>
    <row r="12" spans="1:12" x14ac:dyDescent="0.25">
      <c r="A12"/>
      <c r="B12"/>
      <c r="C12"/>
      <c r="D12"/>
      <c r="E12"/>
      <c r="F12"/>
      <c r="G12"/>
      <c r="H12"/>
      <c r="I12"/>
      <c r="J12"/>
      <c r="K12"/>
      <c r="L12" s="394"/>
    </row>
    <row r="13" spans="1:12" x14ac:dyDescent="0.25">
      <c r="A13"/>
      <c r="B13"/>
      <c r="C13"/>
      <c r="D13"/>
      <c r="E13"/>
      <c r="F13"/>
      <c r="G13"/>
      <c r="H13"/>
      <c r="I13"/>
      <c r="J13"/>
      <c r="K13"/>
      <c r="L13" s="394"/>
    </row>
    <row r="14" spans="1:12" x14ac:dyDescent="0.25">
      <c r="A14"/>
      <c r="B14"/>
      <c r="C14"/>
      <c r="D14"/>
      <c r="E14"/>
      <c r="F14"/>
      <c r="G14"/>
      <c r="H14"/>
      <c r="I14"/>
      <c r="J14"/>
      <c r="K14"/>
      <c r="L14" s="394"/>
    </row>
    <row r="15" spans="1:12" x14ac:dyDescent="0.25">
      <c r="A15"/>
      <c r="B15"/>
      <c r="C15"/>
      <c r="D15"/>
      <c r="E15"/>
      <c r="F15"/>
      <c r="G15"/>
      <c r="H15"/>
      <c r="I15"/>
      <c r="J15"/>
      <c r="K15"/>
      <c r="L15" s="394"/>
    </row>
    <row r="16" spans="1:12" x14ac:dyDescent="0.25">
      <c r="A16"/>
      <c r="B16"/>
      <c r="C16"/>
      <c r="D16"/>
      <c r="E16"/>
      <c r="F16"/>
      <c r="G16"/>
      <c r="H16"/>
      <c r="I16"/>
      <c r="J16"/>
      <c r="K16"/>
      <c r="L16" s="394"/>
    </row>
    <row r="17" spans="1:12" x14ac:dyDescent="0.25">
      <c r="A17"/>
      <c r="B17"/>
      <c r="C17"/>
      <c r="D17"/>
      <c r="E17"/>
      <c r="F17"/>
      <c r="G17"/>
      <c r="H17"/>
      <c r="I17"/>
      <c r="J17"/>
      <c r="K17"/>
      <c r="L17" s="394"/>
    </row>
    <row r="18" spans="1:12" x14ac:dyDescent="0.25">
      <c r="A18"/>
      <c r="B18"/>
      <c r="C18"/>
      <c r="D18"/>
      <c r="E18"/>
      <c r="F18"/>
      <c r="G18"/>
      <c r="H18"/>
      <c r="I18"/>
      <c r="J18"/>
      <c r="K18"/>
      <c r="L18" s="394"/>
    </row>
    <row r="19" spans="1:12" x14ac:dyDescent="0.25">
      <c r="A19"/>
      <c r="B19"/>
      <c r="C19"/>
      <c r="D19" s="378"/>
      <c r="E19" s="378"/>
      <c r="F19" s="378"/>
      <c r="G19" s="378"/>
      <c r="H19" s="378"/>
      <c r="I19" s="378"/>
      <c r="J19" s="378"/>
      <c r="K19" s="378"/>
      <c r="L19" s="394"/>
    </row>
    <row r="20" spans="1:12" x14ac:dyDescent="0.25">
      <c r="A20"/>
      <c r="B20"/>
      <c r="C20" s="378"/>
      <c r="D20" s="378"/>
      <c r="E20" s="378"/>
      <c r="F20" s="378"/>
      <c r="G20" s="378"/>
      <c r="H20" s="378"/>
      <c r="I20" s="378"/>
      <c r="J20" s="378"/>
      <c r="K20" s="378"/>
      <c r="L20" s="394"/>
    </row>
    <row r="21" spans="1:12" x14ac:dyDescent="0.25">
      <c r="A21"/>
      <c r="B21"/>
      <c r="C21"/>
      <c r="D21"/>
      <c r="E21"/>
      <c r="F21"/>
      <c r="G21"/>
      <c r="H21"/>
      <c r="I21"/>
      <c r="J21"/>
      <c r="K21"/>
      <c r="L21" s="394"/>
    </row>
    <row r="22" spans="1:12" x14ac:dyDescent="0.25">
      <c r="A22"/>
      <c r="B22"/>
      <c r="C22"/>
      <c r="D22"/>
      <c r="E22"/>
      <c r="F22"/>
      <c r="G22"/>
      <c r="H22"/>
      <c r="I22"/>
      <c r="J22"/>
      <c r="K22"/>
      <c r="L22" s="394"/>
    </row>
    <row r="23" spans="1:12" x14ac:dyDescent="0.25">
      <c r="A23"/>
      <c r="B23"/>
      <c r="C23"/>
      <c r="D23"/>
      <c r="E23"/>
      <c r="F23"/>
      <c r="G23"/>
      <c r="H23"/>
      <c r="I23"/>
      <c r="J23"/>
      <c r="K23"/>
      <c r="L23" s="394"/>
    </row>
    <row r="24" spans="1:12" x14ac:dyDescent="0.25">
      <c r="A24"/>
      <c r="B24"/>
      <c r="C24"/>
      <c r="D24"/>
      <c r="E24"/>
      <c r="F24"/>
      <c r="G24"/>
      <c r="H24"/>
      <c r="I24"/>
      <c r="J24"/>
      <c r="K24"/>
      <c r="L24" s="394"/>
    </row>
    <row r="25" spans="1:12" x14ac:dyDescent="0.25">
      <c r="A25"/>
      <c r="B25"/>
      <c r="C25"/>
      <c r="D25"/>
      <c r="E25"/>
      <c r="F25"/>
      <c r="G25"/>
      <c r="H25"/>
      <c r="I25"/>
      <c r="J25"/>
      <c r="K25"/>
      <c r="L25" s="394"/>
    </row>
    <row r="26" spans="1:12" x14ac:dyDescent="0.25">
      <c r="A26"/>
      <c r="B26"/>
      <c r="C26"/>
      <c r="D26"/>
      <c r="E26"/>
      <c r="F26"/>
      <c r="G26"/>
      <c r="H26"/>
      <c r="I26"/>
      <c r="J26"/>
      <c r="K26"/>
      <c r="L26" s="394"/>
    </row>
    <row r="27" spans="1:12" x14ac:dyDescent="0.25">
      <c r="A27"/>
      <c r="B27"/>
      <c r="C27"/>
      <c r="D27"/>
      <c r="E27"/>
      <c r="F27"/>
      <c r="G27"/>
      <c r="H27"/>
      <c r="I27"/>
      <c r="J27"/>
      <c r="K27"/>
      <c r="L27" s="394"/>
    </row>
    <row r="28" spans="1:12" x14ac:dyDescent="0.25">
      <c r="A28"/>
      <c r="B28"/>
      <c r="C28"/>
      <c r="D28"/>
      <c r="E28"/>
      <c r="F28"/>
      <c r="G28"/>
      <c r="H28"/>
      <c r="I28"/>
      <c r="J28"/>
      <c r="K28"/>
      <c r="L28" s="394"/>
    </row>
    <row r="29" spans="1:12" x14ac:dyDescent="0.25">
      <c r="A29"/>
      <c r="B29"/>
      <c r="C29"/>
      <c r="D29"/>
      <c r="E29"/>
      <c r="F29"/>
      <c r="G29"/>
      <c r="H29"/>
      <c r="I29"/>
      <c r="J29"/>
      <c r="K29"/>
      <c r="L29" s="394"/>
    </row>
    <row r="30" spans="1:12" x14ac:dyDescent="0.25">
      <c r="A30"/>
      <c r="B30"/>
      <c r="C30"/>
      <c r="D30"/>
      <c r="E30"/>
      <c r="F30"/>
      <c r="G30"/>
      <c r="H30"/>
      <c r="I30"/>
      <c r="J30"/>
      <c r="K30"/>
      <c r="L30" s="394"/>
    </row>
    <row r="31" spans="1:12" x14ac:dyDescent="0.25">
      <c r="A31"/>
      <c r="B31"/>
      <c r="C31"/>
      <c r="D31"/>
      <c r="E31"/>
      <c r="F31"/>
      <c r="G31"/>
      <c r="H31"/>
      <c r="I31"/>
      <c r="J31"/>
      <c r="K31"/>
      <c r="L31" s="394"/>
    </row>
    <row r="32" spans="1:12" x14ac:dyDescent="0.25">
      <c r="A32"/>
      <c r="B32"/>
      <c r="C32"/>
      <c r="D32"/>
      <c r="E32"/>
      <c r="F32"/>
      <c r="G32"/>
      <c r="H32"/>
      <c r="I32"/>
      <c r="J32"/>
      <c r="K32"/>
      <c r="L32" s="394"/>
    </row>
    <row r="33" spans="1:12" x14ac:dyDescent="0.25">
      <c r="A33"/>
      <c r="B33"/>
      <c r="C33"/>
      <c r="D33"/>
      <c r="E33"/>
      <c r="F33"/>
      <c r="G33"/>
      <c r="H33"/>
      <c r="I33"/>
      <c r="J33"/>
      <c r="K33"/>
      <c r="L33" s="394"/>
    </row>
    <row r="34" spans="1:12" x14ac:dyDescent="0.25">
      <c r="A34"/>
      <c r="B34"/>
      <c r="C34"/>
      <c r="D34"/>
      <c r="E34"/>
      <c r="F34"/>
      <c r="G34"/>
      <c r="H34"/>
      <c r="I34"/>
      <c r="J34"/>
      <c r="K34"/>
      <c r="L34" s="394"/>
    </row>
    <row r="35" spans="1:12" x14ac:dyDescent="0.25">
      <c r="A35"/>
      <c r="B35" s="144" t="s">
        <v>458</v>
      </c>
      <c r="C35" t="s">
        <v>533</v>
      </c>
      <c r="D35"/>
      <c r="E35"/>
      <c r="F35"/>
      <c r="G35"/>
      <c r="H35"/>
      <c r="I35"/>
      <c r="J35"/>
      <c r="K35"/>
      <c r="L35" s="394"/>
    </row>
    <row r="36" spans="1:12" x14ac:dyDescent="0.25">
      <c r="A36"/>
      <c r="B36" s="144" t="s">
        <v>459</v>
      </c>
      <c r="C36" t="s">
        <v>534</v>
      </c>
      <c r="D36"/>
      <c r="E36"/>
      <c r="F36"/>
      <c r="G36"/>
      <c r="H36"/>
      <c r="I36"/>
      <c r="J36"/>
      <c r="K36"/>
      <c r="L36" s="394"/>
    </row>
    <row r="37" spans="1:12" x14ac:dyDescent="0.25">
      <c r="A37"/>
      <c r="B37" s="144" t="s">
        <v>460</v>
      </c>
      <c r="C37" t="s">
        <v>535</v>
      </c>
      <c r="D37"/>
      <c r="E37"/>
      <c r="F37"/>
      <c r="G37"/>
      <c r="H37"/>
      <c r="I37"/>
      <c r="J37"/>
      <c r="K37"/>
      <c r="L37" s="394"/>
    </row>
    <row r="38" spans="1:12" x14ac:dyDescent="0.25">
      <c r="A38"/>
      <c r="B38"/>
      <c r="C38"/>
      <c r="D38"/>
      <c r="E38"/>
      <c r="F38"/>
      <c r="G38"/>
      <c r="H38"/>
      <c r="I38"/>
      <c r="J38"/>
      <c r="K38"/>
      <c r="L38" s="394"/>
    </row>
    <row r="39" spans="1:12" x14ac:dyDescent="0.25">
      <c r="A39"/>
      <c r="B39" s="379" t="s">
        <v>336</v>
      </c>
      <c r="C39"/>
      <c r="D39"/>
      <c r="E39"/>
      <c r="F39"/>
      <c r="G39"/>
      <c r="H39"/>
      <c r="I39"/>
      <c r="J39"/>
      <c r="K39"/>
      <c r="L39" s="394"/>
    </row>
    <row r="40" spans="1:12" x14ac:dyDescent="0.25">
      <c r="A40"/>
      <c r="B40" s="383" t="s">
        <v>557</v>
      </c>
      <c r="C40" s="384"/>
      <c r="D40" s="384"/>
      <c r="E40" s="384"/>
      <c r="F40" s="384"/>
      <c r="G40" s="384"/>
      <c r="H40" s="384"/>
      <c r="I40" s="384"/>
      <c r="J40" s="384"/>
      <c r="K40" s="384"/>
      <c r="L40" s="394"/>
    </row>
    <row r="41" spans="1:12" x14ac:dyDescent="0.25">
      <c r="A41"/>
      <c r="B41" s="384" t="s">
        <v>558</v>
      </c>
      <c r="C41" s="384"/>
      <c r="D41" s="384"/>
      <c r="E41" s="384"/>
      <c r="F41" s="384"/>
      <c r="G41" s="384"/>
      <c r="H41" s="384"/>
      <c r="I41" s="384"/>
      <c r="J41" s="384"/>
      <c r="K41" s="384"/>
      <c r="L41" s="394"/>
    </row>
    <row r="42" spans="1:12" x14ac:dyDescent="0.25">
      <c r="A42"/>
      <c r="B42" s="446" t="s">
        <v>559</v>
      </c>
      <c r="C42" s="446"/>
      <c r="D42" s="446"/>
      <c r="E42" s="446"/>
      <c r="F42" s="446"/>
      <c r="G42" s="446"/>
      <c r="H42" s="446"/>
      <c r="I42" s="446"/>
      <c r="J42" s="446"/>
      <c r="K42" s="446"/>
      <c r="L42" s="394"/>
    </row>
    <row r="43" spans="1:12" x14ac:dyDescent="0.25">
      <c r="A43"/>
      <c r="B43" s="446"/>
      <c r="C43" s="446"/>
      <c r="D43" s="446"/>
      <c r="E43" s="446"/>
      <c r="F43" s="446"/>
      <c r="G43" s="446"/>
      <c r="H43" s="446"/>
      <c r="I43" s="446"/>
      <c r="J43" s="446"/>
      <c r="K43" s="446"/>
      <c r="L43" s="394"/>
    </row>
    <row r="44" spans="1:12" ht="15" customHeight="1" x14ac:dyDescent="0.25">
      <c r="A44"/>
      <c r="B44" s="447" t="s">
        <v>560</v>
      </c>
      <c r="C44" s="447"/>
      <c r="D44" s="447"/>
      <c r="E44" s="447"/>
      <c r="F44" s="447"/>
      <c r="G44" s="447"/>
      <c r="H44" s="447"/>
      <c r="I44" s="447"/>
      <c r="J44" s="447"/>
      <c r="K44" s="447"/>
      <c r="L44" s="394"/>
    </row>
    <row r="45" spans="1:12" x14ac:dyDescent="0.25">
      <c r="A45"/>
      <c r="B45" s="382"/>
      <c r="C45" s="382"/>
      <c r="D45" s="382"/>
      <c r="E45" s="382"/>
      <c r="F45" s="382"/>
      <c r="G45" s="382"/>
      <c r="H45" s="382"/>
      <c r="I45" s="382"/>
      <c r="J45" s="382"/>
      <c r="K45" s="382"/>
      <c r="L45" s="394"/>
    </row>
    <row r="46" spans="1:12" x14ac:dyDescent="0.25">
      <c r="A46"/>
      <c r="B46" s="144"/>
      <c r="C46"/>
      <c r="D46"/>
      <c r="E46"/>
      <c r="F46"/>
      <c r="G46"/>
      <c r="H46"/>
      <c r="I46"/>
      <c r="J46"/>
      <c r="K46"/>
      <c r="L46" s="394"/>
    </row>
    <row r="47" spans="1:12" ht="19.5" thickBot="1" x14ac:dyDescent="0.35">
      <c r="A47"/>
      <c r="B47" s="205" t="s">
        <v>522</v>
      </c>
      <c r="C47" s="202"/>
      <c r="D47"/>
      <c r="E47"/>
      <c r="F47"/>
      <c r="G47"/>
      <c r="H47"/>
      <c r="I47"/>
      <c r="J47"/>
      <c r="K47"/>
      <c r="L47" s="394"/>
    </row>
    <row r="48" spans="1:12" x14ac:dyDescent="0.25">
      <c r="A48"/>
      <c r="B48"/>
      <c r="C48"/>
      <c r="D48"/>
      <c r="E48"/>
      <c r="F48"/>
      <c r="G48"/>
      <c r="H48"/>
      <c r="I48"/>
      <c r="J48"/>
      <c r="K48"/>
      <c r="L48" s="394"/>
    </row>
    <row r="49" spans="1:12" x14ac:dyDescent="0.25">
      <c r="A49"/>
      <c r="B49" s="442" t="s">
        <v>541</v>
      </c>
      <c r="C49" s="442"/>
      <c r="D49" s="442"/>
      <c r="E49" s="442"/>
      <c r="F49" s="442"/>
      <c r="G49" s="442"/>
      <c r="H49" s="442"/>
      <c r="I49" s="442"/>
      <c r="J49" s="442"/>
      <c r="K49" s="442"/>
      <c r="L49" s="394"/>
    </row>
    <row r="50" spans="1:12" x14ac:dyDescent="0.25">
      <c r="A50"/>
      <c r="B50" s="442"/>
      <c r="C50" s="442"/>
      <c r="D50" s="442"/>
      <c r="E50" s="442"/>
      <c r="F50" s="442"/>
      <c r="G50" s="442"/>
      <c r="H50" s="442"/>
      <c r="I50" s="442"/>
      <c r="J50" s="442"/>
      <c r="K50" s="442"/>
      <c r="L50" s="394"/>
    </row>
    <row r="51" spans="1:12" x14ac:dyDescent="0.25">
      <c r="A51"/>
      <c r="B51"/>
      <c r="C51"/>
      <c r="D51"/>
      <c r="E51"/>
      <c r="F51"/>
      <c r="G51"/>
      <c r="H51"/>
      <c r="I51"/>
      <c r="J51"/>
      <c r="K51"/>
      <c r="L51" s="394"/>
    </row>
    <row r="52" spans="1:12" ht="15.75" thickBot="1" x14ac:dyDescent="0.3">
      <c r="A52"/>
      <c r="B52" s="218" t="s">
        <v>542</v>
      </c>
      <c r="C52" t="s">
        <v>538</v>
      </c>
      <c r="D52"/>
      <c r="E52"/>
      <c r="F52"/>
      <c r="G52"/>
      <c r="H52"/>
      <c r="I52"/>
      <c r="J52"/>
      <c r="K52"/>
      <c r="L52" s="394"/>
    </row>
    <row r="53" spans="1:12" x14ac:dyDescent="0.25">
      <c r="A53"/>
      <c r="B53"/>
      <c r="C53"/>
      <c r="D53"/>
      <c r="E53"/>
      <c r="F53"/>
      <c r="G53"/>
      <c r="H53"/>
      <c r="I53"/>
      <c r="J53"/>
      <c r="K53"/>
      <c r="L53" s="394"/>
    </row>
    <row r="54" spans="1:12" ht="15.75" thickBot="1" x14ac:dyDescent="0.3">
      <c r="A54"/>
      <c r="B54" s="219" t="s">
        <v>543</v>
      </c>
      <c r="C54" t="s">
        <v>539</v>
      </c>
      <c r="D54"/>
      <c r="E54"/>
      <c r="F54"/>
      <c r="G54"/>
      <c r="H54"/>
      <c r="I54"/>
      <c r="J54"/>
      <c r="K54"/>
      <c r="L54" s="394"/>
    </row>
    <row r="55" spans="1:12" x14ac:dyDescent="0.25">
      <c r="A55"/>
      <c r="B55"/>
      <c r="C55"/>
      <c r="D55"/>
      <c r="E55"/>
      <c r="F55"/>
      <c r="G55"/>
      <c r="H55"/>
      <c r="I55"/>
      <c r="J55"/>
      <c r="K55"/>
      <c r="L55" s="394"/>
    </row>
    <row r="56" spans="1:12" ht="15.75" thickBot="1" x14ac:dyDescent="0.3">
      <c r="A56"/>
      <c r="B56" s="220" t="s">
        <v>544</v>
      </c>
      <c r="C56" s="442" t="s">
        <v>540</v>
      </c>
      <c r="D56" s="442"/>
      <c r="E56" s="442"/>
      <c r="F56" s="442"/>
      <c r="G56" s="442"/>
      <c r="H56" s="442"/>
      <c r="I56" s="442"/>
      <c r="J56" s="442"/>
      <c r="K56" s="442"/>
      <c r="L56" s="394"/>
    </row>
    <row r="57" spans="1:12" x14ac:dyDescent="0.25">
      <c r="A57"/>
      <c r="B57"/>
      <c r="C57" s="442"/>
      <c r="D57" s="442"/>
      <c r="E57" s="442"/>
      <c r="F57" s="442"/>
      <c r="G57" s="442"/>
      <c r="H57" s="442"/>
      <c r="I57" s="442"/>
      <c r="J57" s="442"/>
      <c r="K57" s="442"/>
      <c r="L57" s="394"/>
    </row>
    <row r="58" spans="1:12" x14ac:dyDescent="0.25">
      <c r="A58"/>
      <c r="B58"/>
      <c r="C58"/>
      <c r="D58"/>
      <c r="E58"/>
      <c r="F58"/>
      <c r="G58"/>
      <c r="H58"/>
      <c r="I58"/>
      <c r="J58"/>
      <c r="K58"/>
      <c r="L58" s="394"/>
    </row>
    <row r="59" spans="1:12" ht="15.75" thickBot="1" x14ac:dyDescent="0.3">
      <c r="A59"/>
      <c r="B59" s="221" t="s">
        <v>545</v>
      </c>
      <c r="C59" s="442" t="s">
        <v>546</v>
      </c>
      <c r="D59" s="442"/>
      <c r="E59" s="442"/>
      <c r="F59" s="442"/>
      <c r="G59" s="442"/>
      <c r="H59" s="442"/>
      <c r="I59" s="442"/>
      <c r="J59" s="442"/>
      <c r="K59" s="442"/>
      <c r="L59" s="394"/>
    </row>
    <row r="60" spans="1:12" x14ac:dyDescent="0.25">
      <c r="A60"/>
      <c r="B60"/>
      <c r="C60" s="442"/>
      <c r="D60" s="442"/>
      <c r="E60" s="442"/>
      <c r="F60" s="442"/>
      <c r="G60" s="442"/>
      <c r="H60" s="442"/>
      <c r="I60" s="442"/>
      <c r="J60" s="442"/>
      <c r="K60" s="442"/>
      <c r="L60" s="394"/>
    </row>
    <row r="61" spans="1:12" x14ac:dyDescent="0.25">
      <c r="A61"/>
      <c r="B61"/>
      <c r="C61"/>
      <c r="D61"/>
      <c r="E61"/>
      <c r="F61"/>
      <c r="G61"/>
      <c r="H61"/>
      <c r="I61"/>
      <c r="J61"/>
      <c r="K61"/>
      <c r="L61" s="394"/>
    </row>
    <row r="62" spans="1:12" ht="15.75" thickBot="1" x14ac:dyDescent="0.3">
      <c r="A62"/>
      <c r="B62" s="218" t="s">
        <v>542</v>
      </c>
      <c r="C62" s="217"/>
      <c r="D62"/>
      <c r="E62"/>
      <c r="F62"/>
      <c r="G62"/>
      <c r="H62"/>
      <c r="I62"/>
      <c r="J62"/>
      <c r="K62"/>
      <c r="L62" s="394"/>
    </row>
    <row r="63" spans="1:12" x14ac:dyDescent="0.25">
      <c r="A63"/>
      <c r="B63"/>
      <c r="C63"/>
      <c r="D63"/>
      <c r="E63"/>
      <c r="F63"/>
      <c r="G63"/>
      <c r="H63"/>
      <c r="I63"/>
      <c r="J63"/>
      <c r="K63"/>
      <c r="L63" s="394"/>
    </row>
    <row r="64" spans="1:12" x14ac:dyDescent="0.25">
      <c r="A64"/>
      <c r="B64" s="442" t="s">
        <v>561</v>
      </c>
      <c r="C64" s="442"/>
      <c r="D64" s="442"/>
      <c r="E64" s="442"/>
      <c r="F64" s="442"/>
      <c r="G64" s="442"/>
      <c r="H64" s="442"/>
      <c r="I64" s="442"/>
      <c r="J64" s="442"/>
      <c r="K64" s="442"/>
      <c r="L64" s="394"/>
    </row>
    <row r="65" spans="1:12" x14ac:dyDescent="0.25">
      <c r="A65"/>
      <c r="B65" s="442"/>
      <c r="C65" s="442"/>
      <c r="D65" s="442"/>
      <c r="E65" s="442"/>
      <c r="F65" s="442"/>
      <c r="G65" s="442"/>
      <c r="H65" s="442"/>
      <c r="I65" s="442"/>
      <c r="J65" s="442"/>
      <c r="K65" s="442"/>
      <c r="L65" s="394"/>
    </row>
    <row r="66" spans="1:12" x14ac:dyDescent="0.25">
      <c r="A66"/>
      <c r="B66"/>
      <c r="C66"/>
      <c r="D66"/>
      <c r="E66"/>
      <c r="F66"/>
      <c r="G66"/>
      <c r="H66"/>
      <c r="I66"/>
      <c r="J66"/>
      <c r="K66"/>
      <c r="L66" s="394"/>
    </row>
    <row r="67" spans="1:12" x14ac:dyDescent="0.25">
      <c r="A67"/>
      <c r="B67"/>
      <c r="C67"/>
      <c r="D67"/>
      <c r="E67"/>
      <c r="F67"/>
      <c r="G67"/>
      <c r="H67"/>
      <c r="I67"/>
      <c r="J67"/>
      <c r="K67"/>
      <c r="L67" s="394"/>
    </row>
    <row r="68" spans="1:12" x14ac:dyDescent="0.25">
      <c r="A68"/>
      <c r="B68"/>
      <c r="C68"/>
      <c r="D68"/>
      <c r="E68"/>
      <c r="F68"/>
      <c r="G68"/>
      <c r="H68"/>
      <c r="I68"/>
      <c r="J68"/>
      <c r="K68"/>
      <c r="L68" s="394"/>
    </row>
    <row r="69" spans="1:12" x14ac:dyDescent="0.25">
      <c r="A69"/>
      <c r="B69"/>
      <c r="C69"/>
      <c r="D69"/>
      <c r="E69"/>
      <c r="F69"/>
      <c r="G69"/>
      <c r="H69"/>
      <c r="I69"/>
      <c r="J69"/>
      <c r="K69"/>
      <c r="L69" s="394"/>
    </row>
    <row r="70" spans="1:12" x14ac:dyDescent="0.25">
      <c r="A70"/>
      <c r="B70"/>
      <c r="C70"/>
      <c r="D70"/>
      <c r="E70"/>
      <c r="F70"/>
      <c r="G70"/>
      <c r="H70"/>
      <c r="I70"/>
      <c r="J70"/>
      <c r="K70"/>
      <c r="L70" s="394"/>
    </row>
    <row r="71" spans="1:12" x14ac:dyDescent="0.25">
      <c r="A71"/>
      <c r="B71"/>
      <c r="C71"/>
      <c r="D71"/>
      <c r="E71"/>
      <c r="F71"/>
      <c r="G71"/>
      <c r="H71"/>
      <c r="I71"/>
      <c r="J71"/>
      <c r="K71"/>
      <c r="L71" s="394"/>
    </row>
    <row r="72" spans="1:12" x14ac:dyDescent="0.25">
      <c r="A72"/>
      <c r="B72"/>
      <c r="C72"/>
      <c r="D72"/>
      <c r="E72"/>
      <c r="F72"/>
      <c r="G72"/>
      <c r="H72"/>
      <c r="I72"/>
      <c r="J72"/>
      <c r="K72"/>
      <c r="L72" s="394"/>
    </row>
    <row r="73" spans="1:12" x14ac:dyDescent="0.25">
      <c r="A73"/>
      <c r="B73"/>
      <c r="C73"/>
      <c r="D73"/>
      <c r="E73"/>
      <c r="F73"/>
      <c r="G73"/>
      <c r="H73"/>
      <c r="I73"/>
      <c r="J73"/>
      <c r="K73"/>
      <c r="L73" s="394"/>
    </row>
    <row r="74" spans="1:12" x14ac:dyDescent="0.25">
      <c r="A74"/>
      <c r="B74"/>
      <c r="C74"/>
      <c r="D74"/>
      <c r="E74"/>
      <c r="F74"/>
      <c r="G74"/>
      <c r="H74"/>
      <c r="I74"/>
      <c r="J74"/>
      <c r="K74"/>
      <c r="L74" s="394"/>
    </row>
    <row r="75" spans="1:12" x14ac:dyDescent="0.25">
      <c r="A75"/>
      <c r="B75"/>
      <c r="C75"/>
      <c r="D75"/>
      <c r="E75"/>
      <c r="F75"/>
      <c r="G75"/>
      <c r="H75"/>
      <c r="I75"/>
      <c r="J75"/>
      <c r="K75"/>
      <c r="L75" s="394"/>
    </row>
    <row r="76" spans="1:12" ht="15.75" thickBot="1" x14ac:dyDescent="0.3">
      <c r="A76"/>
      <c r="B76" s="219" t="s">
        <v>543</v>
      </c>
      <c r="C76" s="216"/>
      <c r="D76"/>
      <c r="E76"/>
      <c r="F76"/>
      <c r="G76"/>
      <c r="H76"/>
      <c r="I76"/>
      <c r="J76"/>
      <c r="K76"/>
      <c r="L76" s="394"/>
    </row>
    <row r="77" spans="1:12" x14ac:dyDescent="0.25">
      <c r="A77"/>
      <c r="B77"/>
      <c r="C77"/>
      <c r="D77"/>
      <c r="E77"/>
      <c r="F77"/>
      <c r="G77"/>
      <c r="H77"/>
      <c r="I77"/>
      <c r="J77"/>
      <c r="K77"/>
      <c r="L77" s="394"/>
    </row>
    <row r="78" spans="1:12" x14ac:dyDescent="0.25">
      <c r="A78"/>
      <c r="B78" t="s">
        <v>410</v>
      </c>
      <c r="C78"/>
      <c r="D78"/>
      <c r="E78"/>
      <c r="F78"/>
      <c r="G78"/>
      <c r="H78"/>
      <c r="I78"/>
      <c r="J78"/>
      <c r="K78"/>
      <c r="L78" s="394"/>
    </row>
    <row r="79" spans="1:12" x14ac:dyDescent="0.25">
      <c r="A79"/>
      <c r="B79"/>
      <c r="C79"/>
      <c r="D79"/>
      <c r="E79"/>
      <c r="F79"/>
      <c r="G79"/>
      <c r="H79"/>
      <c r="I79"/>
      <c r="J79"/>
      <c r="K79"/>
      <c r="L79" s="394"/>
    </row>
    <row r="80" spans="1:12" x14ac:dyDescent="0.25">
      <c r="A80"/>
      <c r="B80" s="151" t="s">
        <v>547</v>
      </c>
      <c r="C80"/>
      <c r="D80"/>
      <c r="E80"/>
      <c r="F80"/>
      <c r="G80"/>
      <c r="H80"/>
      <c r="I80"/>
      <c r="J80"/>
      <c r="K80"/>
      <c r="L80" s="394"/>
    </row>
    <row r="81" spans="1:12" x14ac:dyDescent="0.25">
      <c r="A81"/>
      <c r="B81" t="s">
        <v>563</v>
      </c>
      <c r="C81"/>
      <c r="D81"/>
      <c r="E81"/>
      <c r="F81"/>
      <c r="G81"/>
      <c r="H81"/>
      <c r="I81"/>
      <c r="J81"/>
      <c r="K81"/>
      <c r="L81" s="394"/>
    </row>
    <row r="82" spans="1:12" x14ac:dyDescent="0.25">
      <c r="A82"/>
      <c r="B82"/>
      <c r="C82"/>
      <c r="D82"/>
      <c r="E82"/>
      <c r="F82"/>
      <c r="G82"/>
      <c r="H82"/>
      <c r="I82"/>
      <c r="J82"/>
      <c r="K82"/>
      <c r="L82" s="394"/>
    </row>
    <row r="83" spans="1:12" x14ac:dyDescent="0.25">
      <c r="A83"/>
      <c r="B83"/>
      <c r="C83"/>
      <c r="D83"/>
      <c r="E83"/>
      <c r="F83"/>
      <c r="G83"/>
      <c r="H83"/>
      <c r="I83"/>
      <c r="J83"/>
      <c r="K83"/>
      <c r="L83" s="394"/>
    </row>
    <row r="84" spans="1:12" x14ac:dyDescent="0.25">
      <c r="A84"/>
      <c r="B84"/>
      <c r="C84"/>
      <c r="D84"/>
      <c r="E84"/>
      <c r="F84"/>
      <c r="G84"/>
      <c r="H84"/>
      <c r="I84"/>
      <c r="J84"/>
      <c r="K84"/>
      <c r="L84" s="394"/>
    </row>
    <row r="85" spans="1:12" x14ac:dyDescent="0.25">
      <c r="A85"/>
      <c r="B85"/>
      <c r="C85"/>
      <c r="D85"/>
      <c r="E85"/>
      <c r="F85"/>
      <c r="G85"/>
      <c r="H85"/>
      <c r="I85"/>
      <c r="J85"/>
      <c r="K85"/>
      <c r="L85" s="394"/>
    </row>
    <row r="86" spans="1:12" x14ac:dyDescent="0.25">
      <c r="A86"/>
      <c r="B86"/>
      <c r="C86"/>
      <c r="D86"/>
      <c r="E86"/>
      <c r="F86"/>
      <c r="G86"/>
      <c r="H86"/>
      <c r="I86"/>
      <c r="J86"/>
      <c r="K86"/>
      <c r="L86" s="394"/>
    </row>
    <row r="87" spans="1:12" x14ac:dyDescent="0.25">
      <c r="A87"/>
      <c r="B87"/>
      <c r="C87"/>
      <c r="D87"/>
      <c r="E87"/>
      <c r="F87"/>
      <c r="G87"/>
      <c r="H87"/>
      <c r="I87"/>
      <c r="J87"/>
      <c r="K87"/>
      <c r="L87" s="394"/>
    </row>
    <row r="88" spans="1:12" x14ac:dyDescent="0.25">
      <c r="A88"/>
      <c r="B88"/>
      <c r="C88"/>
      <c r="D88"/>
      <c r="E88"/>
      <c r="F88"/>
      <c r="G88"/>
      <c r="H88"/>
      <c r="I88"/>
      <c r="J88"/>
      <c r="K88"/>
      <c r="L88" s="394"/>
    </row>
    <row r="89" spans="1:12" x14ac:dyDescent="0.25">
      <c r="A89"/>
      <c r="B89" s="375" t="s">
        <v>565</v>
      </c>
      <c r="C89"/>
      <c r="D89"/>
      <c r="E89"/>
      <c r="F89"/>
      <c r="G89"/>
      <c r="H89"/>
      <c r="I89"/>
      <c r="J89"/>
      <c r="K89"/>
      <c r="L89" s="394"/>
    </row>
    <row r="90" spans="1:12" ht="15" customHeight="1" x14ac:dyDescent="0.25">
      <c r="A90"/>
      <c r="B90" t="s">
        <v>566</v>
      </c>
      <c r="C90"/>
      <c r="D90"/>
      <c r="E90"/>
      <c r="F90"/>
      <c r="G90"/>
      <c r="H90"/>
      <c r="I90"/>
      <c r="J90"/>
      <c r="K90"/>
      <c r="L90" s="394"/>
    </row>
    <row r="91" spans="1:12" x14ac:dyDescent="0.25">
      <c r="A91"/>
      <c r="B91" t="s">
        <v>569</v>
      </c>
      <c r="C91"/>
      <c r="D91"/>
      <c r="E91"/>
      <c r="F91"/>
      <c r="G91"/>
      <c r="H91"/>
      <c r="I91"/>
      <c r="J91"/>
      <c r="K91"/>
      <c r="L91" s="394"/>
    </row>
    <row r="92" spans="1:12" x14ac:dyDescent="0.25">
      <c r="A92"/>
      <c r="B92" s="381" t="s">
        <v>568</v>
      </c>
      <c r="C92"/>
      <c r="D92"/>
      <c r="E92"/>
      <c r="F92"/>
      <c r="G92"/>
      <c r="H92"/>
      <c r="I92"/>
      <c r="J92"/>
      <c r="K92"/>
      <c r="L92" s="394"/>
    </row>
    <row r="93" spans="1:12" x14ac:dyDescent="0.25">
      <c r="A93"/>
      <c r="B93" s="381" t="s">
        <v>567</v>
      </c>
      <c r="C93"/>
      <c r="D93"/>
      <c r="E93"/>
      <c r="F93"/>
      <c r="G93"/>
      <c r="H93"/>
      <c r="I93"/>
      <c r="J93"/>
      <c r="K93"/>
      <c r="L93" s="394"/>
    </row>
    <row r="94" spans="1:12" x14ac:dyDescent="0.25">
      <c r="A94"/>
      <c r="B94" t="s">
        <v>570</v>
      </c>
      <c r="C94"/>
      <c r="D94"/>
      <c r="E94"/>
      <c r="F94"/>
      <c r="G94"/>
      <c r="H94"/>
      <c r="I94"/>
      <c r="J94"/>
      <c r="K94"/>
      <c r="L94" s="394"/>
    </row>
    <row r="95" spans="1:12" x14ac:dyDescent="0.25">
      <c r="A95"/>
      <c r="B95"/>
      <c r="C95"/>
      <c r="D95"/>
      <c r="E95"/>
      <c r="F95"/>
      <c r="G95"/>
      <c r="H95"/>
      <c r="I95"/>
      <c r="J95"/>
      <c r="K95"/>
      <c r="L95" s="394"/>
    </row>
    <row r="96" spans="1:12" x14ac:dyDescent="0.25">
      <c r="A96"/>
      <c r="B96"/>
      <c r="C96"/>
      <c r="D96"/>
      <c r="E96"/>
      <c r="F96"/>
      <c r="G96"/>
      <c r="H96"/>
      <c r="I96"/>
      <c r="J96"/>
      <c r="K96"/>
      <c r="L96" s="394"/>
    </row>
    <row r="97" spans="1:13" ht="15.75" thickBot="1" x14ac:dyDescent="0.3">
      <c r="A97"/>
      <c r="B97" s="220" t="s">
        <v>544</v>
      </c>
      <c r="C97" s="215"/>
      <c r="D97"/>
      <c r="E97"/>
      <c r="F97"/>
      <c r="G97"/>
      <c r="H97"/>
      <c r="I97"/>
      <c r="J97"/>
      <c r="K97"/>
      <c r="L97" s="394"/>
    </row>
    <row r="98" spans="1:13" x14ac:dyDescent="0.25">
      <c r="A98"/>
      <c r="B98"/>
      <c r="C98"/>
      <c r="D98"/>
      <c r="E98"/>
      <c r="F98"/>
      <c r="G98"/>
      <c r="H98"/>
      <c r="I98"/>
      <c r="J98"/>
      <c r="K98"/>
      <c r="L98" s="394"/>
    </row>
    <row r="99" spans="1:13" ht="15" customHeight="1" x14ac:dyDescent="0.25">
      <c r="A99"/>
      <c r="B99" s="449" t="s">
        <v>408</v>
      </c>
      <c r="C99" s="449"/>
      <c r="D99" s="449"/>
      <c r="E99" s="449"/>
      <c r="F99" s="449"/>
      <c r="G99" s="449"/>
      <c r="H99" s="449"/>
      <c r="I99" s="449"/>
      <c r="J99" s="449"/>
      <c r="K99" s="449"/>
      <c r="L99" s="395"/>
      <c r="M99" s="399"/>
    </row>
    <row r="100" spans="1:13" x14ac:dyDescent="0.25">
      <c r="A100"/>
      <c r="B100" s="449"/>
      <c r="C100" s="449"/>
      <c r="D100" s="449"/>
      <c r="E100" s="449"/>
      <c r="F100" s="449"/>
      <c r="G100" s="449"/>
      <c r="H100" s="449"/>
      <c r="I100" s="449"/>
      <c r="J100" s="449"/>
      <c r="K100" s="449"/>
      <c r="L100" s="395"/>
      <c r="M100" s="399"/>
    </row>
    <row r="101" spans="1:13" x14ac:dyDescent="0.25">
      <c r="A101"/>
      <c r="B101" s="449"/>
      <c r="C101" s="449"/>
      <c r="D101" s="449"/>
      <c r="E101" s="449"/>
      <c r="F101" s="449"/>
      <c r="G101" s="449"/>
      <c r="H101" s="449"/>
      <c r="I101" s="449"/>
      <c r="J101" s="449"/>
      <c r="K101" s="449"/>
      <c r="L101" s="394"/>
    </row>
    <row r="102" spans="1:13" x14ac:dyDescent="0.25">
      <c r="A102"/>
      <c r="B102"/>
      <c r="C102"/>
      <c r="D102"/>
      <c r="E102"/>
      <c r="F102"/>
      <c r="G102"/>
      <c r="H102"/>
      <c r="I102"/>
      <c r="J102"/>
      <c r="K102"/>
      <c r="L102" s="394"/>
    </row>
    <row r="103" spans="1:13" x14ac:dyDescent="0.25">
      <c r="A103"/>
      <c r="B103" t="s">
        <v>409</v>
      </c>
      <c r="C103"/>
      <c r="D103"/>
      <c r="E103"/>
      <c r="F103"/>
      <c r="G103"/>
      <c r="H103"/>
      <c r="I103"/>
      <c r="J103"/>
      <c r="K103"/>
      <c r="L103" s="394"/>
    </row>
    <row r="104" spans="1:13" x14ac:dyDescent="0.25">
      <c r="A104"/>
      <c r="B104"/>
      <c r="C104"/>
      <c r="D104"/>
      <c r="E104"/>
      <c r="F104"/>
      <c r="G104"/>
      <c r="H104"/>
      <c r="I104"/>
      <c r="J104"/>
      <c r="K104"/>
      <c r="L104" s="394"/>
    </row>
    <row r="105" spans="1:13" x14ac:dyDescent="0.25">
      <c r="A105"/>
      <c r="B105" s="151" t="s">
        <v>547</v>
      </c>
      <c r="C105"/>
      <c r="D105"/>
      <c r="E105"/>
      <c r="F105"/>
      <c r="G105"/>
      <c r="H105"/>
      <c r="I105"/>
      <c r="J105"/>
      <c r="K105"/>
      <c r="L105" s="394"/>
    </row>
    <row r="106" spans="1:13" x14ac:dyDescent="0.25">
      <c r="A106"/>
      <c r="B106" s="442" t="s">
        <v>548</v>
      </c>
      <c r="C106" s="442"/>
      <c r="D106" s="442"/>
      <c r="E106" s="442"/>
      <c r="F106" s="442"/>
      <c r="G106" s="442"/>
      <c r="H106" s="442"/>
      <c r="I106" s="442"/>
      <c r="J106" s="442"/>
      <c r="K106" s="442"/>
      <c r="L106" s="394"/>
    </row>
    <row r="107" spans="1:13" x14ac:dyDescent="0.25">
      <c r="A107"/>
      <c r="B107" s="442"/>
      <c r="C107" s="442"/>
      <c r="D107" s="442"/>
      <c r="E107" s="442"/>
      <c r="F107" s="442"/>
      <c r="G107" s="442"/>
      <c r="H107" s="442"/>
      <c r="I107" s="442"/>
      <c r="J107" s="442"/>
      <c r="K107" s="442"/>
      <c r="L107" s="394"/>
    </row>
    <row r="108" spans="1:13" x14ac:dyDescent="0.25">
      <c r="A108"/>
      <c r="B108"/>
      <c r="C108"/>
      <c r="D108"/>
      <c r="E108"/>
      <c r="F108"/>
      <c r="G108"/>
      <c r="H108"/>
      <c r="I108"/>
      <c r="J108"/>
      <c r="K108"/>
      <c r="L108" s="394"/>
    </row>
    <row r="109" spans="1:13" x14ac:dyDescent="0.25">
      <c r="A109"/>
      <c r="B109"/>
      <c r="C109"/>
      <c r="D109"/>
      <c r="E109"/>
      <c r="F109"/>
      <c r="G109"/>
      <c r="H109"/>
      <c r="I109"/>
      <c r="J109"/>
      <c r="K109"/>
      <c r="L109" s="394"/>
    </row>
    <row r="110" spans="1:13" x14ac:dyDescent="0.25">
      <c r="A110"/>
      <c r="B110"/>
      <c r="C110"/>
      <c r="D110"/>
      <c r="E110"/>
      <c r="F110"/>
      <c r="G110"/>
      <c r="H110"/>
      <c r="I110"/>
      <c r="J110"/>
      <c r="K110"/>
      <c r="L110" s="394"/>
    </row>
    <row r="111" spans="1:13" ht="15" customHeight="1" x14ac:dyDescent="0.25">
      <c r="A111"/>
      <c r="B111"/>
      <c r="C111" s="264"/>
      <c r="D111" s="264"/>
      <c r="E111" s="264"/>
      <c r="F111" s="264"/>
      <c r="G111" s="264"/>
      <c r="H111" s="264"/>
      <c r="I111" s="264"/>
      <c r="J111" s="264"/>
      <c r="K111" s="264"/>
      <c r="L111" s="396"/>
      <c r="M111" s="400"/>
    </row>
    <row r="112" spans="1:13" x14ac:dyDescent="0.25">
      <c r="A112"/>
      <c r="B112" s="264"/>
      <c r="C112" s="264"/>
      <c r="D112" s="264"/>
      <c r="E112" s="264"/>
      <c r="F112" s="264"/>
      <c r="G112" s="264"/>
      <c r="H112" s="264"/>
      <c r="I112" s="264"/>
      <c r="J112" s="264"/>
      <c r="K112" s="264"/>
      <c r="L112" s="396"/>
      <c r="M112" s="400"/>
    </row>
    <row r="113" spans="1:12" x14ac:dyDescent="0.25">
      <c r="A113"/>
      <c r="B113"/>
      <c r="C113"/>
      <c r="D113"/>
      <c r="E113"/>
      <c r="F113"/>
      <c r="G113"/>
      <c r="H113"/>
      <c r="I113"/>
      <c r="J113"/>
      <c r="K113"/>
      <c r="L113" s="394"/>
    </row>
    <row r="114" spans="1:12" x14ac:dyDescent="0.25">
      <c r="A114"/>
      <c r="B114"/>
      <c r="C114"/>
      <c r="D114"/>
      <c r="E114"/>
      <c r="F114"/>
      <c r="G114"/>
      <c r="H114"/>
      <c r="I114"/>
      <c r="J114"/>
      <c r="K114"/>
      <c r="L114" s="394"/>
    </row>
    <row r="115" spans="1:12" x14ac:dyDescent="0.25">
      <c r="A115"/>
      <c r="B115" s="151" t="s">
        <v>571</v>
      </c>
      <c r="C115"/>
      <c r="D115"/>
      <c r="E115"/>
      <c r="F115"/>
      <c r="G115"/>
      <c r="H115"/>
      <c r="I115"/>
      <c r="J115"/>
      <c r="K115"/>
      <c r="L115" s="394"/>
    </row>
    <row r="116" spans="1:12" ht="21" customHeight="1" x14ac:dyDescent="0.25">
      <c r="A116"/>
      <c r="B116" s="450" t="s">
        <v>572</v>
      </c>
      <c r="C116" s="450"/>
      <c r="D116" s="450"/>
      <c r="E116" s="450"/>
      <c r="F116" s="450"/>
      <c r="G116" s="450"/>
      <c r="H116" s="450"/>
      <c r="I116" s="450"/>
      <c r="J116" s="450"/>
      <c r="K116" s="450"/>
      <c r="L116" s="394"/>
    </row>
    <row r="117" spans="1:12" x14ac:dyDescent="0.25">
      <c r="A117"/>
      <c r="B117" s="450"/>
      <c r="C117" s="450"/>
      <c r="D117" s="450"/>
      <c r="E117" s="450"/>
      <c r="F117" s="450"/>
      <c r="G117" s="450"/>
      <c r="H117" s="450"/>
      <c r="I117" s="450"/>
      <c r="J117" s="450"/>
      <c r="K117" s="450"/>
      <c r="L117" s="394"/>
    </row>
    <row r="118" spans="1:12" x14ac:dyDescent="0.25">
      <c r="A118"/>
      <c r="B118" s="450"/>
      <c r="C118" s="450"/>
      <c r="D118" s="450"/>
      <c r="E118" s="450"/>
      <c r="F118" s="450"/>
      <c r="G118" s="450"/>
      <c r="H118" s="450"/>
      <c r="I118" s="450"/>
      <c r="J118" s="450"/>
      <c r="K118" s="450"/>
      <c r="L118" s="394"/>
    </row>
    <row r="119" spans="1:12" x14ac:dyDescent="0.25">
      <c r="A119"/>
      <c r="B119" s="450"/>
      <c r="C119" s="450"/>
      <c r="D119" s="450"/>
      <c r="E119" s="450"/>
      <c r="F119" s="450"/>
      <c r="G119" s="450"/>
      <c r="H119" s="450"/>
      <c r="I119" s="450"/>
      <c r="J119" s="450"/>
      <c r="K119" s="450"/>
      <c r="L119" s="394"/>
    </row>
    <row r="120" spans="1:12" x14ac:dyDescent="0.25">
      <c r="A120"/>
      <c r="B120" s="151" t="s">
        <v>573</v>
      </c>
      <c r="C120"/>
      <c r="D120"/>
      <c r="E120"/>
      <c r="F120"/>
      <c r="G120"/>
      <c r="H120"/>
      <c r="I120"/>
      <c r="J120"/>
      <c r="K120"/>
      <c r="L120" s="394"/>
    </row>
    <row r="121" spans="1:12" x14ac:dyDescent="0.25">
      <c r="A121"/>
      <c r="B121" s="448" t="s">
        <v>574</v>
      </c>
      <c r="C121" s="448"/>
      <c r="D121" s="448"/>
      <c r="E121" s="448"/>
      <c r="F121" s="448"/>
      <c r="G121" s="448"/>
      <c r="H121" s="448"/>
      <c r="I121" s="448"/>
      <c r="J121" s="448"/>
      <c r="K121" s="448"/>
      <c r="L121" s="394"/>
    </row>
    <row r="122" spans="1:12" x14ac:dyDescent="0.25">
      <c r="A122"/>
      <c r="B122" s="448"/>
      <c r="C122" s="448"/>
      <c r="D122" s="448"/>
      <c r="E122" s="448"/>
      <c r="F122" s="448"/>
      <c r="G122" s="448"/>
      <c r="H122" s="448"/>
      <c r="I122" s="448"/>
      <c r="J122" s="448"/>
      <c r="K122" s="448"/>
      <c r="L122" s="394"/>
    </row>
    <row r="123" spans="1:12" x14ac:dyDescent="0.25">
      <c r="A123"/>
      <c r="B123" s="448"/>
      <c r="C123" s="448"/>
      <c r="D123" s="448"/>
      <c r="E123" s="448"/>
      <c r="F123" s="448"/>
      <c r="G123" s="448"/>
      <c r="H123" s="448"/>
      <c r="I123" s="448"/>
      <c r="J123" s="448"/>
      <c r="K123" s="448"/>
      <c r="L123" s="394"/>
    </row>
    <row r="124" spans="1:12" x14ac:dyDescent="0.25">
      <c r="A124"/>
      <c r="B124"/>
      <c r="C124"/>
      <c r="D124"/>
      <c r="E124"/>
      <c r="F124"/>
      <c r="G124"/>
      <c r="H124"/>
      <c r="I124"/>
      <c r="J124"/>
      <c r="K124"/>
      <c r="L124" s="394"/>
    </row>
    <row r="125" spans="1:12" x14ac:dyDescent="0.25">
      <c r="A125"/>
      <c r="B125" s="375" t="s">
        <v>575</v>
      </c>
      <c r="C125"/>
      <c r="D125"/>
      <c r="E125"/>
      <c r="F125"/>
      <c r="G125"/>
      <c r="H125"/>
      <c r="I125"/>
      <c r="J125"/>
      <c r="K125"/>
      <c r="L125" s="394"/>
    </row>
    <row r="126" spans="1:12" x14ac:dyDescent="0.25">
      <c r="A126"/>
      <c r="B126" s="380" t="s">
        <v>580</v>
      </c>
      <c r="C126"/>
      <c r="D126"/>
      <c r="E126"/>
      <c r="F126"/>
      <c r="G126"/>
      <c r="H126"/>
      <c r="I126"/>
      <c r="J126"/>
      <c r="K126"/>
      <c r="L126" s="394"/>
    </row>
    <row r="127" spans="1:12" x14ac:dyDescent="0.25">
      <c r="A127"/>
      <c r="B127" t="s">
        <v>576</v>
      </c>
      <c r="C127"/>
      <c r="D127"/>
      <c r="E127"/>
      <c r="F127"/>
      <c r="G127"/>
      <c r="H127"/>
      <c r="I127"/>
      <c r="J127"/>
      <c r="K127"/>
      <c r="L127" s="394"/>
    </row>
    <row r="128" spans="1:12" x14ac:dyDescent="0.25">
      <c r="A128"/>
      <c r="B128"/>
      <c r="C128"/>
      <c r="D128"/>
      <c r="E128"/>
      <c r="F128"/>
      <c r="G128"/>
      <c r="H128"/>
      <c r="I128"/>
      <c r="J128"/>
      <c r="K128"/>
      <c r="L128" s="394"/>
    </row>
    <row r="129" spans="1:13" x14ac:dyDescent="0.25">
      <c r="A129"/>
      <c r="B129"/>
      <c r="C129"/>
      <c r="D129"/>
      <c r="E129"/>
      <c r="F129"/>
      <c r="G129"/>
      <c r="H129"/>
      <c r="I129"/>
      <c r="J129"/>
      <c r="K129"/>
      <c r="L129" s="394"/>
    </row>
    <row r="130" spans="1:13" ht="15.75" thickBot="1" x14ac:dyDescent="0.3">
      <c r="A130"/>
      <c r="B130" s="221" t="s">
        <v>545</v>
      </c>
      <c r="C130" s="203"/>
      <c r="D130"/>
      <c r="E130"/>
      <c r="F130"/>
      <c r="G130"/>
      <c r="H130"/>
      <c r="I130"/>
      <c r="J130"/>
      <c r="K130"/>
      <c r="L130" s="394"/>
    </row>
    <row r="131" spans="1:13" x14ac:dyDescent="0.25">
      <c r="A131"/>
      <c r="B131"/>
      <c r="C131"/>
      <c r="D131"/>
      <c r="E131"/>
      <c r="F131"/>
      <c r="G131"/>
      <c r="H131"/>
      <c r="I131"/>
      <c r="J131"/>
      <c r="K131"/>
      <c r="L131" s="394"/>
    </row>
    <row r="132" spans="1:13" x14ac:dyDescent="0.25">
      <c r="A132"/>
      <c r="B132" t="s">
        <v>549</v>
      </c>
      <c r="C132"/>
      <c r="D132"/>
      <c r="E132"/>
      <c r="F132"/>
      <c r="G132"/>
      <c r="H132"/>
      <c r="I132"/>
      <c r="J132"/>
      <c r="K132"/>
      <c r="L132" s="394"/>
    </row>
    <row r="133" spans="1:13" x14ac:dyDescent="0.25">
      <c r="A133"/>
      <c r="B133"/>
      <c r="C133"/>
      <c r="D133"/>
      <c r="E133"/>
      <c r="F133"/>
      <c r="G133"/>
      <c r="H133"/>
      <c r="I133"/>
      <c r="J133"/>
      <c r="K133"/>
      <c r="L133" s="394"/>
    </row>
    <row r="134" spans="1:13" x14ac:dyDescent="0.25">
      <c r="A134"/>
      <c r="B134" s="151" t="s">
        <v>547</v>
      </c>
      <c r="C134"/>
      <c r="D134"/>
      <c r="E134"/>
      <c r="F134"/>
      <c r="G134"/>
      <c r="H134"/>
      <c r="I134"/>
      <c r="J134"/>
      <c r="K134"/>
      <c r="L134" s="394"/>
    </row>
    <row r="135" spans="1:13" ht="15" customHeight="1" x14ac:dyDescent="0.25">
      <c r="A135"/>
      <c r="B135" s="442" t="s">
        <v>577</v>
      </c>
      <c r="C135" s="442"/>
      <c r="D135" s="442"/>
      <c r="E135" s="442"/>
      <c r="F135" s="442"/>
      <c r="G135" s="442"/>
      <c r="H135" s="442"/>
      <c r="I135" s="442"/>
      <c r="J135" s="442"/>
      <c r="K135" s="442"/>
      <c r="L135" s="396"/>
      <c r="M135" s="400"/>
    </row>
    <row r="136" spans="1:13" x14ac:dyDescent="0.25">
      <c r="A136"/>
      <c r="B136" s="442"/>
      <c r="C136" s="442"/>
      <c r="D136" s="442"/>
      <c r="E136" s="442"/>
      <c r="F136" s="442"/>
      <c r="G136" s="442"/>
      <c r="H136" s="442"/>
      <c r="I136" s="442"/>
      <c r="J136" s="442"/>
      <c r="K136" s="442"/>
      <c r="L136" s="396"/>
      <c r="M136" s="400"/>
    </row>
    <row r="137" spans="1:13" x14ac:dyDescent="0.25">
      <c r="A137"/>
      <c r="B137" s="376"/>
      <c r="C137" s="376"/>
      <c r="D137" s="376"/>
      <c r="E137" s="376"/>
      <c r="F137" s="376"/>
      <c r="G137" s="376"/>
      <c r="H137" s="376"/>
      <c r="I137" s="376"/>
      <c r="J137" s="376"/>
      <c r="K137" s="376"/>
      <c r="L137" s="397"/>
      <c r="M137" s="401"/>
    </row>
    <row r="138" spans="1:13" x14ac:dyDescent="0.25">
      <c r="A138"/>
      <c r="B138" s="376"/>
      <c r="C138" s="376"/>
      <c r="D138" s="376"/>
      <c r="E138" s="376"/>
      <c r="F138" s="376"/>
      <c r="G138" s="376"/>
      <c r="H138" s="376"/>
      <c r="I138" s="376"/>
      <c r="J138" s="376"/>
      <c r="K138" s="376"/>
      <c r="L138" s="397"/>
      <c r="M138" s="401"/>
    </row>
    <row r="139" spans="1:13" x14ac:dyDescent="0.25">
      <c r="A139"/>
      <c r="B139" s="376"/>
      <c r="C139" s="376"/>
      <c r="D139" s="376"/>
      <c r="E139" s="376"/>
      <c r="F139" s="376"/>
      <c r="G139" s="376"/>
      <c r="H139" s="376"/>
      <c r="I139" s="376"/>
      <c r="J139" s="376"/>
      <c r="K139" s="376"/>
      <c r="L139" s="397"/>
      <c r="M139" s="401"/>
    </row>
    <row r="140" spans="1:13" x14ac:dyDescent="0.25">
      <c r="A140"/>
      <c r="B140" s="376"/>
      <c r="C140" s="376"/>
      <c r="D140" s="376"/>
      <c r="E140" s="376"/>
      <c r="F140" s="376"/>
      <c r="G140" s="376"/>
      <c r="H140" s="376"/>
      <c r="I140" s="376"/>
      <c r="J140" s="376"/>
      <c r="K140" s="376"/>
      <c r="L140" s="397"/>
      <c r="M140" s="401"/>
    </row>
    <row r="141" spans="1:13" x14ac:dyDescent="0.25">
      <c r="A141"/>
      <c r="B141" s="376"/>
      <c r="C141" s="376"/>
      <c r="D141" s="376"/>
      <c r="E141" s="376"/>
      <c r="F141" s="376"/>
      <c r="G141" s="376"/>
      <c r="H141" s="376"/>
      <c r="I141" s="376"/>
      <c r="J141" s="376"/>
      <c r="K141" s="376"/>
      <c r="L141" s="397"/>
      <c r="M141" s="401"/>
    </row>
    <row r="142" spans="1:13" x14ac:dyDescent="0.25">
      <c r="A142"/>
      <c r="B142" s="376"/>
      <c r="C142" s="376"/>
      <c r="D142" s="376"/>
      <c r="E142" s="376"/>
      <c r="F142" s="376"/>
      <c r="G142" s="376"/>
      <c r="H142" s="376"/>
      <c r="I142" s="376"/>
      <c r="J142" s="376"/>
      <c r="K142" s="376"/>
      <c r="L142" s="397"/>
      <c r="M142" s="401"/>
    </row>
    <row r="143" spans="1:13" x14ac:dyDescent="0.25">
      <c r="A143"/>
      <c r="B143" s="386" t="s">
        <v>520</v>
      </c>
      <c r="C143" s="376"/>
      <c r="D143" s="376"/>
      <c r="E143" s="376"/>
      <c r="F143" s="376"/>
      <c r="G143" s="376"/>
      <c r="H143" s="376"/>
      <c r="I143" s="376"/>
      <c r="J143" s="376"/>
      <c r="K143" s="376"/>
      <c r="L143" s="397"/>
      <c r="M143" s="401"/>
    </row>
    <row r="144" spans="1:13" x14ac:dyDescent="0.25">
      <c r="A144"/>
      <c r="B144" s="385" t="s">
        <v>578</v>
      </c>
      <c r="C144" s="376"/>
      <c r="D144" s="376"/>
      <c r="E144" s="376"/>
      <c r="F144" s="376"/>
      <c r="G144" s="376"/>
      <c r="H144" s="376"/>
      <c r="I144" s="376"/>
      <c r="J144" s="376"/>
      <c r="K144" s="376"/>
      <c r="L144" s="397"/>
      <c r="M144" s="401"/>
    </row>
    <row r="145" spans="1:13" x14ac:dyDescent="0.25">
      <c r="A145"/>
      <c r="B145" s="376"/>
      <c r="C145" s="376"/>
      <c r="D145" s="376"/>
      <c r="E145" s="376"/>
      <c r="F145" s="376"/>
      <c r="G145" s="376"/>
      <c r="H145" s="376"/>
      <c r="I145" s="376"/>
      <c r="J145" s="376"/>
      <c r="K145" s="376"/>
      <c r="L145" s="397"/>
      <c r="M145" s="401"/>
    </row>
    <row r="146" spans="1:13" x14ac:dyDescent="0.25">
      <c r="A146"/>
      <c r="B146"/>
      <c r="C146"/>
      <c r="D146"/>
      <c r="E146"/>
      <c r="F146"/>
      <c r="G146"/>
      <c r="H146"/>
      <c r="I146"/>
      <c r="J146"/>
      <c r="K146"/>
      <c r="L146" s="394"/>
    </row>
    <row r="147" spans="1:13" ht="19.5" thickBot="1" x14ac:dyDescent="0.35">
      <c r="A147"/>
      <c r="B147" s="205" t="s">
        <v>41</v>
      </c>
      <c r="C147" s="202"/>
      <c r="D147"/>
      <c r="E147"/>
      <c r="F147"/>
      <c r="G147"/>
      <c r="H147"/>
      <c r="I147"/>
      <c r="J147"/>
      <c r="K147"/>
      <c r="L147" s="394"/>
    </row>
    <row r="148" spans="1:13" x14ac:dyDescent="0.25">
      <c r="A148"/>
      <c r="B148"/>
      <c r="C148"/>
      <c r="D148"/>
      <c r="E148"/>
      <c r="F148"/>
      <c r="G148"/>
      <c r="H148"/>
      <c r="I148"/>
      <c r="J148"/>
      <c r="K148"/>
      <c r="L148" s="394"/>
    </row>
    <row r="149" spans="1:13" x14ac:dyDescent="0.25">
      <c r="A149"/>
      <c r="B149" t="s">
        <v>550</v>
      </c>
      <c r="C149"/>
      <c r="D149"/>
      <c r="E149"/>
      <c r="F149"/>
      <c r="G149"/>
      <c r="H149"/>
      <c r="I149"/>
      <c r="J149"/>
      <c r="K149"/>
      <c r="L149" s="394"/>
    </row>
    <row r="150" spans="1:13" x14ac:dyDescent="0.25">
      <c r="A150"/>
      <c r="B150"/>
      <c r="C150"/>
      <c r="D150"/>
      <c r="E150"/>
      <c r="F150"/>
      <c r="G150"/>
      <c r="H150"/>
      <c r="I150"/>
      <c r="J150"/>
      <c r="K150"/>
      <c r="L150" s="394"/>
    </row>
    <row r="151" spans="1:13" ht="15" customHeight="1" x14ac:dyDescent="0.25">
      <c r="A151"/>
      <c r="B151" s="442" t="s">
        <v>551</v>
      </c>
      <c r="C151" s="442"/>
      <c r="D151" s="442"/>
      <c r="E151" s="442"/>
      <c r="F151" s="442"/>
      <c r="G151" s="442"/>
      <c r="H151" s="442"/>
      <c r="I151" s="442"/>
      <c r="J151" s="442"/>
      <c r="K151" s="442"/>
      <c r="L151" s="395"/>
      <c r="M151" s="399"/>
    </row>
    <row r="152" spans="1:13" x14ac:dyDescent="0.25">
      <c r="A152"/>
      <c r="B152" s="442"/>
      <c r="C152" s="442"/>
      <c r="D152" s="442"/>
      <c r="E152" s="442"/>
      <c r="F152" s="442"/>
      <c r="G152" s="442"/>
      <c r="H152" s="442"/>
      <c r="I152" s="442"/>
      <c r="J152" s="442"/>
      <c r="K152" s="442"/>
      <c r="L152" s="395"/>
      <c r="M152" s="399"/>
    </row>
    <row r="153" spans="1:13" x14ac:dyDescent="0.25">
      <c r="A153"/>
      <c r="B153"/>
      <c r="C153"/>
      <c r="D153"/>
      <c r="E153"/>
      <c r="F153"/>
      <c r="G153"/>
      <c r="H153"/>
      <c r="I153"/>
      <c r="J153"/>
      <c r="K153"/>
      <c r="L153" s="394"/>
    </row>
    <row r="154" spans="1:13" x14ac:dyDescent="0.25">
      <c r="A154"/>
      <c r="B154"/>
      <c r="C154"/>
      <c r="D154"/>
      <c r="E154"/>
      <c r="F154"/>
      <c r="G154"/>
      <c r="H154"/>
      <c r="I154"/>
      <c r="J154"/>
      <c r="K154"/>
      <c r="L154" s="394"/>
    </row>
    <row r="155" spans="1:13" x14ac:dyDescent="0.25">
      <c r="A155"/>
      <c r="B155"/>
      <c r="C155"/>
      <c r="D155"/>
      <c r="E155"/>
      <c r="F155"/>
      <c r="G155"/>
      <c r="H155"/>
      <c r="I155"/>
      <c r="J155"/>
      <c r="K155"/>
      <c r="L155" s="394"/>
    </row>
    <row r="156" spans="1:13" x14ac:dyDescent="0.25">
      <c r="A156"/>
      <c r="B156"/>
      <c r="C156"/>
      <c r="D156"/>
      <c r="E156"/>
      <c r="F156"/>
      <c r="G156"/>
      <c r="H156"/>
      <c r="I156"/>
      <c r="J156"/>
      <c r="K156"/>
      <c r="L156" s="394"/>
    </row>
    <row r="157" spans="1:13" x14ac:dyDescent="0.25">
      <c r="A157"/>
      <c r="B157"/>
      <c r="C157"/>
      <c r="D157"/>
      <c r="E157"/>
      <c r="F157"/>
      <c r="G157"/>
      <c r="H157"/>
      <c r="I157"/>
      <c r="J157"/>
      <c r="K157"/>
      <c r="L157" s="394"/>
    </row>
    <row r="158" spans="1:13" x14ac:dyDescent="0.25">
      <c r="A158"/>
      <c r="B158"/>
      <c r="C158"/>
      <c r="D158"/>
      <c r="E158"/>
      <c r="F158"/>
      <c r="G158"/>
      <c r="H158"/>
      <c r="I158"/>
      <c r="J158"/>
      <c r="K158"/>
      <c r="L158" s="394"/>
    </row>
    <row r="159" spans="1:13" x14ac:dyDescent="0.25">
      <c r="A159"/>
      <c r="B159"/>
      <c r="C159"/>
      <c r="D159"/>
      <c r="E159"/>
      <c r="F159"/>
      <c r="G159"/>
      <c r="H159"/>
      <c r="I159"/>
      <c r="J159"/>
      <c r="K159"/>
      <c r="L159" s="394"/>
    </row>
    <row r="160" spans="1:13" x14ac:dyDescent="0.25">
      <c r="A160"/>
      <c r="B160"/>
      <c r="C160"/>
      <c r="D160"/>
      <c r="E160"/>
      <c r="F160"/>
      <c r="G160"/>
      <c r="H160"/>
      <c r="I160"/>
      <c r="J160"/>
      <c r="K160"/>
      <c r="L160" s="394"/>
    </row>
    <row r="161" spans="1:12" x14ac:dyDescent="0.25">
      <c r="A161"/>
      <c r="B161"/>
      <c r="C161"/>
      <c r="D161"/>
      <c r="E161"/>
      <c r="F161"/>
      <c r="G161"/>
      <c r="H161"/>
      <c r="I161"/>
      <c r="J161"/>
      <c r="K161"/>
      <c r="L161" s="394"/>
    </row>
    <row r="162" spans="1:12" x14ac:dyDescent="0.25">
      <c r="A162"/>
      <c r="B162"/>
      <c r="C162"/>
      <c r="D162"/>
      <c r="E162"/>
      <c r="F162"/>
      <c r="G162"/>
      <c r="H162"/>
      <c r="I162"/>
      <c r="J162"/>
      <c r="K162"/>
      <c r="L162" s="394"/>
    </row>
    <row r="163" spans="1:12" x14ac:dyDescent="0.25">
      <c r="A163"/>
      <c r="B163" s="375" t="s">
        <v>582</v>
      </c>
      <c r="C163"/>
      <c r="D163"/>
      <c r="E163"/>
      <c r="F163"/>
      <c r="G163"/>
      <c r="H163"/>
      <c r="I163"/>
      <c r="J163"/>
      <c r="K163"/>
      <c r="L163" s="394"/>
    </row>
    <row r="164" spans="1:12" x14ac:dyDescent="0.25">
      <c r="A164"/>
      <c r="B164" t="s">
        <v>579</v>
      </c>
      <c r="C164"/>
      <c r="D164"/>
      <c r="E164"/>
      <c r="F164"/>
      <c r="G164"/>
      <c r="H164"/>
      <c r="I164"/>
      <c r="J164"/>
      <c r="K164"/>
      <c r="L164" s="394"/>
    </row>
    <row r="165" spans="1:12" x14ac:dyDescent="0.25">
      <c r="A165"/>
      <c r="B165" t="s">
        <v>583</v>
      </c>
      <c r="C165"/>
      <c r="D165"/>
      <c r="E165"/>
      <c r="F165"/>
      <c r="G165"/>
      <c r="H165"/>
      <c r="I165"/>
      <c r="J165"/>
      <c r="K165"/>
      <c r="L165" s="394"/>
    </row>
    <row r="166" spans="1:12" x14ac:dyDescent="0.25">
      <c r="A166"/>
      <c r="B166" t="s">
        <v>581</v>
      </c>
      <c r="C166"/>
      <c r="D166"/>
      <c r="E166"/>
      <c r="F166"/>
      <c r="G166"/>
      <c r="H166"/>
      <c r="I166"/>
      <c r="J166"/>
      <c r="K166"/>
      <c r="L166" s="394"/>
    </row>
    <row r="167" spans="1:12" x14ac:dyDescent="0.25">
      <c r="A167"/>
      <c r="B167" t="s">
        <v>584</v>
      </c>
      <c r="C167"/>
      <c r="D167"/>
      <c r="E167"/>
      <c r="F167"/>
      <c r="G167"/>
      <c r="H167"/>
      <c r="I167"/>
      <c r="J167"/>
      <c r="K167"/>
      <c r="L167" s="394"/>
    </row>
    <row r="168" spans="1:12" x14ac:dyDescent="0.25">
      <c r="A168"/>
      <c r="B168" t="s">
        <v>585</v>
      </c>
      <c r="C168"/>
      <c r="D168"/>
      <c r="E168"/>
      <c r="F168"/>
      <c r="G168"/>
      <c r="H168"/>
      <c r="I168"/>
      <c r="J168"/>
      <c r="K168"/>
      <c r="L168" s="394"/>
    </row>
    <row r="169" spans="1:12" x14ac:dyDescent="0.25">
      <c r="A169"/>
      <c r="B169"/>
      <c r="C169"/>
      <c r="D169"/>
      <c r="E169"/>
      <c r="F169"/>
      <c r="G169"/>
      <c r="H169"/>
      <c r="I169"/>
      <c r="J169"/>
      <c r="K169"/>
      <c r="L169" s="394"/>
    </row>
    <row r="170" spans="1:12" x14ac:dyDescent="0.25">
      <c r="A170"/>
      <c r="B170"/>
      <c r="C170"/>
      <c r="D170"/>
      <c r="E170"/>
      <c r="F170"/>
      <c r="G170"/>
      <c r="H170"/>
      <c r="I170"/>
      <c r="J170"/>
      <c r="K170"/>
      <c r="L170" s="394"/>
    </row>
    <row r="171" spans="1:12" ht="19.5" thickBot="1" x14ac:dyDescent="0.35">
      <c r="A171"/>
      <c r="B171" s="205" t="s">
        <v>89</v>
      </c>
      <c r="C171" s="202"/>
      <c r="D171"/>
      <c r="E171"/>
      <c r="F171"/>
      <c r="G171"/>
      <c r="H171"/>
      <c r="I171"/>
      <c r="J171"/>
      <c r="K171"/>
      <c r="L171" s="394"/>
    </row>
    <row r="172" spans="1:12" x14ac:dyDescent="0.25">
      <c r="A172"/>
      <c r="B172"/>
      <c r="C172"/>
      <c r="D172"/>
      <c r="E172"/>
      <c r="F172"/>
      <c r="G172"/>
      <c r="H172"/>
      <c r="I172"/>
      <c r="J172"/>
      <c r="K172"/>
      <c r="L172" s="394"/>
    </row>
    <row r="173" spans="1:12" x14ac:dyDescent="0.25">
      <c r="A173"/>
      <c r="B173" t="s">
        <v>552</v>
      </c>
      <c r="C173"/>
      <c r="D173"/>
      <c r="E173"/>
      <c r="F173"/>
      <c r="G173"/>
      <c r="H173"/>
      <c r="I173"/>
      <c r="J173"/>
      <c r="K173"/>
      <c r="L173" s="394"/>
    </row>
    <row r="174" spans="1:12" x14ac:dyDescent="0.25">
      <c r="A174"/>
      <c r="B174" t="s">
        <v>553</v>
      </c>
      <c r="C174"/>
      <c r="D174"/>
      <c r="E174"/>
      <c r="F174"/>
      <c r="G174"/>
      <c r="H174"/>
      <c r="I174"/>
      <c r="J174"/>
      <c r="K174"/>
      <c r="L174" s="394"/>
    </row>
    <row r="175" spans="1:12" x14ac:dyDescent="0.25">
      <c r="A175"/>
      <c r="B175"/>
      <c r="C175"/>
      <c r="D175"/>
      <c r="E175"/>
      <c r="F175"/>
      <c r="G175"/>
      <c r="H175"/>
      <c r="I175"/>
      <c r="J175"/>
      <c r="K175"/>
      <c r="L175" s="394"/>
    </row>
    <row r="176" spans="1:12" x14ac:dyDescent="0.25">
      <c r="A176"/>
      <c r="B176"/>
      <c r="C176"/>
      <c r="D176"/>
      <c r="E176"/>
      <c r="F176"/>
      <c r="G176"/>
      <c r="H176"/>
      <c r="I176"/>
      <c r="J176"/>
      <c r="K176"/>
      <c r="L176" s="394"/>
    </row>
    <row r="177" spans="1:12" x14ac:dyDescent="0.25">
      <c r="A177"/>
      <c r="B177"/>
      <c r="C177"/>
      <c r="D177"/>
      <c r="E177"/>
      <c r="F177"/>
      <c r="G177"/>
      <c r="H177"/>
      <c r="I177"/>
      <c r="J177"/>
      <c r="K177"/>
      <c r="L177" s="394"/>
    </row>
    <row r="178" spans="1:12" x14ac:dyDescent="0.25">
      <c r="A178"/>
      <c r="B178"/>
      <c r="C178"/>
      <c r="D178"/>
      <c r="E178"/>
      <c r="F178"/>
      <c r="G178"/>
      <c r="H178"/>
      <c r="I178"/>
      <c r="J178"/>
      <c r="K178"/>
      <c r="L178" s="394"/>
    </row>
    <row r="179" spans="1:12" x14ac:dyDescent="0.25">
      <c r="A179"/>
      <c r="B179"/>
      <c r="C179"/>
      <c r="D179"/>
      <c r="E179"/>
      <c r="F179"/>
      <c r="G179"/>
      <c r="H179"/>
      <c r="I179"/>
      <c r="J179"/>
      <c r="K179"/>
      <c r="L179" s="394"/>
    </row>
    <row r="180" spans="1:12" x14ac:dyDescent="0.25">
      <c r="A180"/>
      <c r="B180" s="375" t="s">
        <v>582</v>
      </c>
      <c r="C180"/>
      <c r="D180"/>
      <c r="E180"/>
      <c r="F180"/>
      <c r="G180"/>
      <c r="H180"/>
      <c r="I180"/>
      <c r="J180"/>
      <c r="K180"/>
      <c r="L180" s="394"/>
    </row>
    <row r="181" spans="1:12" x14ac:dyDescent="0.25">
      <c r="A181"/>
      <c r="B181" t="s">
        <v>586</v>
      </c>
      <c r="C181"/>
      <c r="D181"/>
      <c r="E181"/>
      <c r="F181"/>
      <c r="G181"/>
      <c r="H181"/>
      <c r="I181"/>
      <c r="J181"/>
      <c r="K181"/>
      <c r="L181" s="394"/>
    </row>
    <row r="182" spans="1:12" x14ac:dyDescent="0.25">
      <c r="A182"/>
      <c r="B182" t="s">
        <v>587</v>
      </c>
      <c r="C182"/>
      <c r="D182"/>
      <c r="E182"/>
      <c r="F182"/>
      <c r="G182"/>
      <c r="H182"/>
      <c r="I182"/>
      <c r="J182"/>
      <c r="K182"/>
      <c r="L182" s="394"/>
    </row>
    <row r="183" spans="1:12" x14ac:dyDescent="0.25">
      <c r="A183"/>
      <c r="B183" t="s">
        <v>588</v>
      </c>
      <c r="C183"/>
      <c r="D183"/>
      <c r="E183"/>
      <c r="F183"/>
      <c r="G183"/>
      <c r="H183"/>
      <c r="I183"/>
      <c r="J183"/>
      <c r="K183"/>
      <c r="L183" s="394"/>
    </row>
    <row r="184" spans="1:12" x14ac:dyDescent="0.25">
      <c r="A184"/>
      <c r="B184"/>
      <c r="C184"/>
      <c r="D184"/>
      <c r="E184"/>
      <c r="F184"/>
      <c r="G184"/>
      <c r="H184"/>
      <c r="I184"/>
      <c r="J184"/>
      <c r="K184"/>
      <c r="L184" s="394"/>
    </row>
  </sheetData>
  <sheetProtection algorithmName="SHA-512" hashValue="coiIpY8tVvwIXT3RmU54WT/IynVYMJPUcq1FrHp4IMzzpkuJvtlvL5+EjNBI1eeMbuzJunNDtu7aNuh/KYoVxg==" saltValue="C3iMPMsaMGdh6PD1rGMMAg==" spinCount="100000" sheet="1" objects="1" scenarios="1"/>
  <mergeCells count="15">
    <mergeCell ref="B121:K123"/>
    <mergeCell ref="B135:K136"/>
    <mergeCell ref="B151:K152"/>
    <mergeCell ref="B99:K101"/>
    <mergeCell ref="B106:K107"/>
    <mergeCell ref="B116:K119"/>
    <mergeCell ref="C59:K60"/>
    <mergeCell ref="B64:K65"/>
    <mergeCell ref="B2:K2"/>
    <mergeCell ref="B3:K3"/>
    <mergeCell ref="B4:K4"/>
    <mergeCell ref="B42:K43"/>
    <mergeCell ref="B44:K44"/>
    <mergeCell ref="B49:K50"/>
    <mergeCell ref="C56:K57"/>
  </mergeCells>
  <pageMargins left="0.39370078740157483" right="0.39370078740157483" top="0.78740157480314965" bottom="0.39370078740157483" header="0" footer="0"/>
  <pageSetup paperSize="9" scale="8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B3:N40"/>
  <sheetViews>
    <sheetView showGridLines="0" topLeftCell="A4" workbookViewId="0"/>
  </sheetViews>
  <sheetFormatPr defaultRowHeight="15" x14ac:dyDescent="0.25"/>
  <cols>
    <col min="1" max="1" width="3.28515625" customWidth="1"/>
    <col min="2" max="2" width="12.7109375" customWidth="1"/>
    <col min="3" max="3" width="42.5703125" customWidth="1"/>
    <col min="4" max="16" width="16.28515625" customWidth="1"/>
  </cols>
  <sheetData>
    <row r="3" spans="2:11" ht="15.75" thickBot="1" x14ac:dyDescent="0.3">
      <c r="E3" s="222" t="s">
        <v>494</v>
      </c>
      <c r="F3" s="223" t="s">
        <v>495</v>
      </c>
      <c r="G3" s="224"/>
      <c r="H3" s="224"/>
      <c r="I3" s="224"/>
      <c r="J3" s="224"/>
      <c r="K3" s="224"/>
    </row>
    <row r="4" spans="2:11" x14ac:dyDescent="0.25">
      <c r="E4" s="19"/>
      <c r="F4" s="19"/>
      <c r="G4" s="19"/>
      <c r="H4" s="19"/>
      <c r="I4" s="19"/>
      <c r="J4" s="19"/>
      <c r="K4" s="19"/>
    </row>
    <row r="5" spans="2:11" ht="19.5" thickBot="1" x14ac:dyDescent="0.35">
      <c r="B5" s="19"/>
      <c r="C5" s="20" t="s">
        <v>457</v>
      </c>
      <c r="E5" s="471" t="s">
        <v>496</v>
      </c>
      <c r="F5" s="453" t="s">
        <v>497</v>
      </c>
      <c r="G5" s="453" t="s">
        <v>498</v>
      </c>
      <c r="H5" s="455" t="s">
        <v>499</v>
      </c>
      <c r="I5" s="457" t="s">
        <v>500</v>
      </c>
      <c r="J5" s="453" t="s">
        <v>501</v>
      </c>
      <c r="K5" s="459" t="s">
        <v>499</v>
      </c>
    </row>
    <row r="6" spans="2:11" ht="15.75" thickBot="1" x14ac:dyDescent="0.3">
      <c r="B6" s="19"/>
      <c r="C6" s="19"/>
      <c r="E6" s="472"/>
      <c r="F6" s="454"/>
      <c r="G6" s="454"/>
      <c r="H6" s="456"/>
      <c r="I6" s="458"/>
      <c r="J6" s="454"/>
      <c r="K6" s="460"/>
    </row>
    <row r="7" spans="2:11" x14ac:dyDescent="0.25">
      <c r="B7" s="144" t="s">
        <v>458</v>
      </c>
      <c r="C7" s="145"/>
      <c r="E7" s="225">
        <v>2017</v>
      </c>
      <c r="F7" s="226">
        <f>IFERROR(VLOOKUP($C$7,'AUX2'!$N$7:$AJ$31,3,FALSE),0)</f>
        <v>0</v>
      </c>
      <c r="G7" s="226">
        <f>IFERROR(VLOOKUP($C$7,'AUX2'!$N$7:$AJ$31,4,FALSE),0)</f>
        <v>0</v>
      </c>
      <c r="H7" s="227" t="str">
        <f>IFERROR(G7/F7,"")</f>
        <v/>
      </c>
      <c r="I7" s="228">
        <f>IFERROR(VLOOKUP($C$7,'AUX2'!$N$7:$AJ$31,13,FALSE),0)</f>
        <v>0</v>
      </c>
      <c r="J7" s="228">
        <f>IFERROR(VLOOKUP($C$7,'AUX2'!$N$7:$AJ$31,14,FALSE),0)</f>
        <v>0</v>
      </c>
      <c r="K7" s="227" t="str">
        <f>IFERROR(J7/I7,"")</f>
        <v/>
      </c>
    </row>
    <row r="8" spans="2:11" x14ac:dyDescent="0.25">
      <c r="B8" s="144"/>
      <c r="C8" s="144"/>
      <c r="E8" s="225">
        <v>2018</v>
      </c>
      <c r="F8" s="229">
        <f>IFERROR(VLOOKUP($C$7,'AUX2'!$N$7:$AJ$31,5,FALSE),0)</f>
        <v>0</v>
      </c>
      <c r="G8" s="229">
        <f>IFERROR(VLOOKUP($C$7,'AUX2'!$N$7:$AJ$31,6,FALSE),0)</f>
        <v>0</v>
      </c>
      <c r="H8" s="230" t="str">
        <f t="shared" ref="H8:H11" si="0">IFERROR(G8/F8,"")</f>
        <v/>
      </c>
      <c r="I8" s="231">
        <f>IFERROR(VLOOKUP($C$7,'AUX2'!$N$7:$AJ$31,15,FALSE),0)</f>
        <v>0</v>
      </c>
      <c r="J8" s="231">
        <f>IFERROR(VLOOKUP($C$7,'AUX2'!$N$7:$AJ$31,16,FALSE),0)</f>
        <v>0</v>
      </c>
      <c r="K8" s="230" t="str">
        <f t="shared" ref="K8:K11" si="1">IFERROR(J8/I8,"")</f>
        <v/>
      </c>
    </row>
    <row r="9" spans="2:11" x14ac:dyDescent="0.25">
      <c r="B9" s="144" t="s">
        <v>459</v>
      </c>
      <c r="C9" s="145"/>
      <c r="E9" s="232">
        <v>2019</v>
      </c>
      <c r="F9" s="229">
        <f>IFERROR(VLOOKUP($C$7,'AUX2'!$N$7:$AJ$31,7,FALSE),0)</f>
        <v>0</v>
      </c>
      <c r="G9" s="229">
        <f>IFERROR(VLOOKUP($C$7,'AUX2'!$N$7:$AJ$31,8,FALSE),0)</f>
        <v>0</v>
      </c>
      <c r="H9" s="230" t="str">
        <f t="shared" si="0"/>
        <v/>
      </c>
      <c r="I9" s="231">
        <f>IFERROR(VLOOKUP($C$7,'AUX2'!$N$7:$AJ$31,17,FALSE),0)</f>
        <v>0</v>
      </c>
      <c r="J9" s="231">
        <f>IFERROR(VLOOKUP($C$7,'AUX2'!$N$7:$AJ$31,18,FALSE),0)</f>
        <v>0</v>
      </c>
      <c r="K9" s="230" t="str">
        <f t="shared" si="1"/>
        <v/>
      </c>
    </row>
    <row r="10" spans="2:11" x14ac:dyDescent="0.25">
      <c r="B10" s="144"/>
      <c r="C10" s="19"/>
      <c r="E10" s="232">
        <v>2022</v>
      </c>
      <c r="F10" s="229">
        <f>IFERROR(VLOOKUP($C$7,'AUX2'!$N$7:$AJ$31,9,FALSE),0)</f>
        <v>0</v>
      </c>
      <c r="G10" s="229">
        <f>IFERROR(VLOOKUP($C$7,'AUX2'!$N$7:$AJ$31,10,FALSE),0)</f>
        <v>0</v>
      </c>
      <c r="H10" s="230" t="str">
        <f t="shared" si="0"/>
        <v/>
      </c>
      <c r="I10" s="231">
        <f>IFERROR(VLOOKUP($C$7,'AUX2'!$N$7:$AJ$31,19,FALSE),0)</f>
        <v>0</v>
      </c>
      <c r="J10" s="231">
        <f>IFERROR(VLOOKUP($C$7,'AUX2'!$N$7:$AJ$31,20,FALSE),0)</f>
        <v>0</v>
      </c>
      <c r="K10" s="230" t="str">
        <f t="shared" si="1"/>
        <v/>
      </c>
    </row>
    <row r="11" spans="2:11" ht="15.75" thickBot="1" x14ac:dyDescent="0.3">
      <c r="B11" s="144" t="s">
        <v>460</v>
      </c>
      <c r="C11" s="145"/>
      <c r="E11" s="233">
        <v>2023</v>
      </c>
      <c r="F11" s="234">
        <f>IFERROR(VLOOKUP($C$7,'AUX2'!$N$7:$AJ$31,11,FALSE),0)</f>
        <v>0</v>
      </c>
      <c r="G11" s="234">
        <f>IFERROR(VLOOKUP($C$7,'AUX2'!$N$7:$AJ$31,12,FALSE),0)</f>
        <v>0</v>
      </c>
      <c r="H11" s="235" t="str">
        <f t="shared" si="0"/>
        <v/>
      </c>
      <c r="I11" s="236">
        <f>IFERROR(VLOOKUP($C$7,'AUX2'!$N$7:$AJ$31,21,FALSE),0)</f>
        <v>0</v>
      </c>
      <c r="J11" s="237">
        <f>IFERROR(VLOOKUP($C$7,'AUX2'!$N$7:$AJ$31,22,FALSE),0)</f>
        <v>0</v>
      </c>
      <c r="K11" s="235" t="str">
        <f t="shared" si="1"/>
        <v/>
      </c>
    </row>
    <row r="13" spans="2:11" ht="15.75" thickBot="1" x14ac:dyDescent="0.3">
      <c r="E13" s="238">
        <v>2024</v>
      </c>
      <c r="F13" t="s">
        <v>519</v>
      </c>
      <c r="J13" s="239">
        <f>IFERROR(VLOOKUP($C$7,'AUX2'!$N$7:$AJ$31,23,FALSE),0)</f>
        <v>0</v>
      </c>
    </row>
    <row r="14" spans="2:11" x14ac:dyDescent="0.25">
      <c r="F14" t="s">
        <v>518</v>
      </c>
      <c r="J14" s="21">
        <f>SUM(D40:I40)</f>
        <v>0</v>
      </c>
    </row>
    <row r="15" spans="2:11" ht="15.75" thickBot="1" x14ac:dyDescent="0.3">
      <c r="I15" s="202" t="s">
        <v>513</v>
      </c>
      <c r="J15" s="240">
        <f>J13-J14</f>
        <v>0</v>
      </c>
    </row>
    <row r="17" spans="3:14" ht="15.75" thickBot="1" x14ac:dyDescent="0.3">
      <c r="E17" s="241" t="s">
        <v>520</v>
      </c>
      <c r="F17" t="s">
        <v>521</v>
      </c>
    </row>
    <row r="19" spans="3:14" x14ac:dyDescent="0.25">
      <c r="E19" s="151" t="s">
        <v>522</v>
      </c>
      <c r="G19" t="s">
        <v>523</v>
      </c>
      <c r="J19" t="s">
        <v>525</v>
      </c>
    </row>
    <row r="20" spans="3:14" x14ac:dyDescent="0.25">
      <c r="E20" s="151" t="s">
        <v>41</v>
      </c>
      <c r="G20" t="s">
        <v>524</v>
      </c>
      <c r="J20" t="s">
        <v>526</v>
      </c>
    </row>
    <row r="22" spans="3:14" x14ac:dyDescent="0.25">
      <c r="C22" s="151" t="s">
        <v>527</v>
      </c>
    </row>
    <row r="24" spans="3:14" x14ac:dyDescent="0.25">
      <c r="C24" s="442" t="s">
        <v>528</v>
      </c>
      <c r="D24" s="442"/>
      <c r="E24" s="442"/>
      <c r="F24" s="442"/>
      <c r="G24" s="442"/>
      <c r="H24" s="442"/>
      <c r="I24" s="442"/>
      <c r="J24" s="442"/>
      <c r="K24" s="442"/>
      <c r="L24" s="442"/>
      <c r="M24" s="442"/>
      <c r="N24" s="442"/>
    </row>
    <row r="25" spans="3:14" x14ac:dyDescent="0.25">
      <c r="C25" s="442"/>
      <c r="D25" s="442"/>
      <c r="E25" s="442"/>
      <c r="F25" s="442"/>
      <c r="G25" s="442"/>
      <c r="H25" s="442"/>
      <c r="I25" s="442"/>
      <c r="J25" s="442"/>
      <c r="K25" s="442"/>
      <c r="L25" s="442"/>
      <c r="M25" s="442"/>
      <c r="N25" s="442"/>
    </row>
    <row r="27" spans="3:14" x14ac:dyDescent="0.25">
      <c r="C27" s="442" t="s">
        <v>529</v>
      </c>
      <c r="D27" s="442"/>
      <c r="E27" s="442"/>
      <c r="F27" s="442"/>
      <c r="G27" s="442"/>
      <c r="H27" s="442"/>
      <c r="I27" s="442"/>
      <c r="J27" s="442"/>
      <c r="K27" s="442"/>
      <c r="L27" s="442"/>
      <c r="M27" s="442"/>
      <c r="N27" s="442"/>
    </row>
    <row r="28" spans="3:14" x14ac:dyDescent="0.25">
      <c r="C28" s="442"/>
      <c r="D28" s="442"/>
      <c r="E28" s="442"/>
      <c r="F28" s="442"/>
      <c r="G28" s="442"/>
      <c r="H28" s="442"/>
      <c r="I28" s="442"/>
      <c r="J28" s="442"/>
      <c r="K28" s="442"/>
      <c r="L28" s="442"/>
      <c r="M28" s="442"/>
      <c r="N28" s="442"/>
    </row>
    <row r="30" spans="3:14" ht="15.75" thickBot="1" x14ac:dyDescent="0.3">
      <c r="C30" s="241" t="s">
        <v>530</v>
      </c>
      <c r="D30" s="242"/>
      <c r="E30" s="242"/>
    </row>
    <row r="32" spans="3:14" ht="15.75" thickBot="1" x14ac:dyDescent="0.3">
      <c r="D32" s="470" t="s">
        <v>393</v>
      </c>
      <c r="E32" s="470"/>
      <c r="F32" s="470" t="s">
        <v>411</v>
      </c>
      <c r="G32" s="470"/>
      <c r="H32" s="470" t="s">
        <v>392</v>
      </c>
      <c r="I32" s="470"/>
      <c r="J32" s="467" t="s">
        <v>469</v>
      </c>
      <c r="K32" s="468"/>
      <c r="L32" s="468"/>
      <c r="M32" s="469"/>
      <c r="N32" s="243" t="s">
        <v>449</v>
      </c>
    </row>
    <row r="33" spans="3:14" ht="15.75" thickBot="1" x14ac:dyDescent="0.3">
      <c r="C33" s="461" t="s">
        <v>493</v>
      </c>
      <c r="D33" s="451" t="s">
        <v>393</v>
      </c>
      <c r="E33" s="451" t="s">
        <v>447</v>
      </c>
      <c r="F33" s="451" t="s">
        <v>446</v>
      </c>
      <c r="G33" s="451" t="s">
        <v>448</v>
      </c>
      <c r="H33" s="451" t="s">
        <v>392</v>
      </c>
      <c r="I33" s="451" t="s">
        <v>395</v>
      </c>
      <c r="J33" s="464" t="s">
        <v>464</v>
      </c>
      <c r="K33" s="465" t="s">
        <v>235</v>
      </c>
      <c r="L33" s="465" t="s">
        <v>237</v>
      </c>
      <c r="M33" s="466" t="s">
        <v>468</v>
      </c>
      <c r="N33" s="462" t="s">
        <v>258</v>
      </c>
    </row>
    <row r="34" spans="3:14" ht="15.75" thickBot="1" x14ac:dyDescent="0.3">
      <c r="C34" s="461"/>
      <c r="D34" s="452"/>
      <c r="E34" s="452"/>
      <c r="F34" s="452"/>
      <c r="G34" s="452"/>
      <c r="H34" s="452"/>
      <c r="I34" s="452"/>
      <c r="J34" s="464"/>
      <c r="K34" s="465"/>
      <c r="L34" s="465"/>
      <c r="M34" s="466"/>
      <c r="N34" s="463"/>
    </row>
    <row r="35" spans="3:14" ht="15.75" thickBot="1" x14ac:dyDescent="0.3">
      <c r="C35" s="151" t="s">
        <v>465</v>
      </c>
      <c r="D35" s="244">
        <f>'VIAGENS e DESLOCAMENTOS'!AW37</f>
        <v>0</v>
      </c>
      <c r="E35" s="245"/>
      <c r="F35" s="245"/>
      <c r="G35" s="245"/>
      <c r="H35" s="244">
        <f>'VIAGENS e DESLOCAMENTOS'!BG37</f>
        <v>0</v>
      </c>
      <c r="I35" s="244">
        <f>'VIAGENS e DESLOCAMENTOS'!BK37</f>
        <v>0</v>
      </c>
      <c r="J35" s="245"/>
      <c r="K35" s="245"/>
      <c r="L35" s="245"/>
      <c r="M35" s="245"/>
      <c r="N35" s="246">
        <f>SUM(D35:M35)</f>
        <v>0</v>
      </c>
    </row>
    <row r="36" spans="3:14" ht="15.75" thickBot="1" x14ac:dyDescent="0.3">
      <c r="C36" s="151" t="s">
        <v>466</v>
      </c>
      <c r="D36" s="244">
        <f>'VIAGENS e DESLOCAMENTOS'!AY37</f>
        <v>0</v>
      </c>
      <c r="E36" s="245"/>
      <c r="F36" s="245"/>
      <c r="G36" s="245"/>
      <c r="H36" s="244">
        <f>'VIAGENS e DESLOCAMENTOS'!BQ37</f>
        <v>0</v>
      </c>
      <c r="I36" s="244">
        <f>'VIAGENS e DESLOCAMENTOS'!BV37</f>
        <v>0</v>
      </c>
      <c r="J36" s="245"/>
      <c r="K36" s="245"/>
      <c r="L36" s="245"/>
      <c r="M36" s="245"/>
      <c r="N36" s="246">
        <f t="shared" ref="N36:N38" si="2">SUM(D36:M36)</f>
        <v>0</v>
      </c>
    </row>
    <row r="37" spans="3:14" ht="15.75" thickBot="1" x14ac:dyDescent="0.3">
      <c r="C37" s="151" t="s">
        <v>467</v>
      </c>
      <c r="D37" s="244">
        <f>'VIAGENS e DESLOCAMENTOS'!BA37</f>
        <v>0</v>
      </c>
      <c r="E37" s="244">
        <f>'VIAGENS e DESLOCAMENTOS'!BZ37</f>
        <v>0</v>
      </c>
      <c r="F37" s="244">
        <f>'VIAGENS e DESLOCAMENTOS'!BX37</f>
        <v>0</v>
      </c>
      <c r="G37" s="244">
        <f>'VIAGENS e DESLOCAMENTOS'!BY37</f>
        <v>0</v>
      </c>
      <c r="H37" s="244">
        <f>'VIAGENS e DESLOCAMENTOS'!CC37</f>
        <v>0</v>
      </c>
      <c r="I37" s="244">
        <f>'VIAGENS e DESLOCAMENTOS'!CG37</f>
        <v>0</v>
      </c>
      <c r="J37" s="245"/>
      <c r="K37" s="245"/>
      <c r="L37" s="245"/>
      <c r="M37" s="245"/>
      <c r="N37" s="246">
        <f t="shared" si="2"/>
        <v>0</v>
      </c>
    </row>
    <row r="38" spans="3:14" ht="15.75" thickBot="1" x14ac:dyDescent="0.3">
      <c r="C38" s="151" t="s">
        <v>463</v>
      </c>
      <c r="D38" s="244">
        <f>EVENTOS!AU22</f>
        <v>0</v>
      </c>
      <c r="E38" s="244">
        <f>EVENTOS!AV22</f>
        <v>0</v>
      </c>
      <c r="F38" s="244">
        <f>EVENTOS!AW22</f>
        <v>0</v>
      </c>
      <c r="G38" s="244">
        <f>EVENTOS!AX22</f>
        <v>0</v>
      </c>
      <c r="H38" s="244">
        <f>EVENTOS!AY22</f>
        <v>0</v>
      </c>
      <c r="I38" s="244">
        <f>EVENTOS!AZ22</f>
        <v>0</v>
      </c>
      <c r="J38" s="245"/>
      <c r="K38" s="245"/>
      <c r="L38" s="245"/>
      <c r="M38" s="245"/>
      <c r="N38" s="246">
        <f t="shared" si="2"/>
        <v>0</v>
      </c>
    </row>
    <row r="39" spans="3:14" x14ac:dyDescent="0.25">
      <c r="C39" s="151" t="s">
        <v>490</v>
      </c>
      <c r="D39" s="247"/>
      <c r="E39" s="247"/>
      <c r="F39" s="247"/>
      <c r="G39" s="247"/>
      <c r="H39" s="247"/>
      <c r="I39" s="247"/>
      <c r="J39" s="248">
        <f>FUNCIONAMENTO!AD25</f>
        <v>0</v>
      </c>
      <c r="K39" s="248">
        <f>FUNCIONAMENTO!Z25</f>
        <v>0</v>
      </c>
      <c r="L39" s="248">
        <f>FUNCIONAMENTO!AB25</f>
        <v>0</v>
      </c>
      <c r="M39" s="248">
        <f>FUNCIONAMENTO!AC25</f>
        <v>0</v>
      </c>
      <c r="N39" s="249">
        <f>SUM(D39:M39)</f>
        <v>0</v>
      </c>
    </row>
    <row r="40" spans="3:14" ht="15.75" thickBot="1" x14ac:dyDescent="0.3">
      <c r="C40" s="250" t="s">
        <v>491</v>
      </c>
      <c r="D40" s="251">
        <f>SUM(D35:D39)</f>
        <v>0</v>
      </c>
      <c r="E40" s="251">
        <f t="shared" ref="E40:N40" si="3">SUM(E35:E39)</f>
        <v>0</v>
      </c>
      <c r="F40" s="251">
        <f t="shared" si="3"/>
        <v>0</v>
      </c>
      <c r="G40" s="251">
        <f t="shared" si="3"/>
        <v>0</v>
      </c>
      <c r="H40" s="251">
        <f t="shared" si="3"/>
        <v>0</v>
      </c>
      <c r="I40" s="251">
        <f t="shared" si="3"/>
        <v>0</v>
      </c>
      <c r="J40" s="251">
        <f t="shared" si="3"/>
        <v>0</v>
      </c>
      <c r="K40" s="251">
        <f t="shared" si="3"/>
        <v>0</v>
      </c>
      <c r="L40" s="251">
        <f t="shared" si="3"/>
        <v>0</v>
      </c>
      <c r="M40" s="251">
        <f t="shared" si="3"/>
        <v>0</v>
      </c>
      <c r="N40" s="252">
        <f t="shared" si="3"/>
        <v>0</v>
      </c>
    </row>
  </sheetData>
  <sheetProtection algorithmName="SHA-512" hashValue="B1m4XdyXOEVdzvdEKrKad4/6w2dqCI7WT2R6W7zVsLyF3tBn9DCBF9W5uhMcrHwqoJLNAWvWEVoA2EuGgafB/g==" saltValue="7ob/5fFxmxAOZU1Poyswqw==" spinCount="100000" sheet="1" objects="1" scenarios="1"/>
  <mergeCells count="25">
    <mergeCell ref="K5:K6"/>
    <mergeCell ref="C24:N25"/>
    <mergeCell ref="C27:N28"/>
    <mergeCell ref="C33:C34"/>
    <mergeCell ref="N33:N34"/>
    <mergeCell ref="J33:J34"/>
    <mergeCell ref="K33:K34"/>
    <mergeCell ref="L33:L34"/>
    <mergeCell ref="M33:M34"/>
    <mergeCell ref="J32:M32"/>
    <mergeCell ref="D32:E32"/>
    <mergeCell ref="F32:G32"/>
    <mergeCell ref="H32:I32"/>
    <mergeCell ref="D33:D34"/>
    <mergeCell ref="E33:E34"/>
    <mergeCell ref="E5:E6"/>
    <mergeCell ref="F33:F34"/>
    <mergeCell ref="G33:G34"/>
    <mergeCell ref="H33:H34"/>
    <mergeCell ref="I33:I34"/>
    <mergeCell ref="J5:J6"/>
    <mergeCell ref="F5:F6"/>
    <mergeCell ref="G5:G6"/>
    <mergeCell ref="H5:H6"/>
    <mergeCell ref="I5:I6"/>
  </mergeCells>
  <conditionalFormatting sqref="H7:H11">
    <cfRule type="cellIs" dxfId="1" priority="5" operator="greaterThan">
      <formula>1</formula>
    </cfRule>
  </conditionalFormatting>
  <conditionalFormatting sqref="K7:K11">
    <cfRule type="cellIs" dxfId="0" priority="1" operator="greaterThan">
      <formula>1</formula>
    </cfRule>
  </conditionalFormatting>
  <pageMargins left="0.511811024" right="0.511811024" top="0.78740157499999996" bottom="0.78740157499999996" header="0.31496062000000002" footer="0.3149606200000000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promptTitle="Curso/Setor" prompt="Selecionar na Lista!">
          <x14:formula1>
            <xm:f>'AUX2'!$C$7:$C$57</xm:f>
          </x14:formula1>
          <xm:sqref>C7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B2:CR39"/>
  <sheetViews>
    <sheetView showGridLines="0" zoomScale="80" zoomScaleNormal="80" workbookViewId="0"/>
  </sheetViews>
  <sheetFormatPr defaultRowHeight="15" x14ac:dyDescent="0.25"/>
  <cols>
    <col min="1" max="1" width="4.42578125" style="18" customWidth="1"/>
    <col min="2" max="2" width="7.5703125" style="18" customWidth="1"/>
    <col min="3" max="3" width="25.28515625" style="18" customWidth="1"/>
    <col min="4" max="6" width="0" style="18" hidden="1" customWidth="1"/>
    <col min="7" max="7" width="18.85546875" style="18" customWidth="1"/>
    <col min="8" max="8" width="14.7109375" style="18" customWidth="1"/>
    <col min="9" max="9" width="19" style="18" customWidth="1"/>
    <col min="10" max="10" width="28.28515625" style="18" customWidth="1"/>
    <col min="11" max="11" width="39" style="18" customWidth="1"/>
    <col min="12" max="12" width="44" style="18" customWidth="1"/>
    <col min="13" max="13" width="20.85546875" style="18" customWidth="1"/>
    <col min="14" max="14" width="13.7109375" style="18" customWidth="1"/>
    <col min="15" max="15" width="11" style="18" customWidth="1"/>
    <col min="16" max="16" width="13.7109375" style="18" customWidth="1"/>
    <col min="17" max="17" width="11" style="18" customWidth="1"/>
    <col min="18" max="18" width="12.28515625" style="18" customWidth="1"/>
    <col min="19" max="19" width="14" style="18" customWidth="1"/>
    <col min="20" max="20" width="18.5703125" style="18" customWidth="1"/>
    <col min="21" max="21" width="13.85546875" style="18" customWidth="1"/>
    <col min="22" max="22" width="31.42578125" style="18" customWidth="1"/>
    <col min="23" max="23" width="5.85546875" style="18" customWidth="1"/>
    <col min="24" max="24" width="31.42578125" style="18" customWidth="1"/>
    <col min="25" max="25" width="5.85546875" style="18" customWidth="1"/>
    <col min="26" max="26" width="15.7109375" style="18" customWidth="1"/>
    <col min="27" max="27" width="14" style="18" customWidth="1"/>
    <col min="28" max="28" width="16" style="18" customWidth="1"/>
    <col min="29" max="29" width="15.85546875" style="18" bestFit="1" customWidth="1"/>
    <col min="30" max="31" width="17.28515625" style="18" customWidth="1"/>
    <col min="32" max="33" width="15.85546875" style="18" customWidth="1"/>
    <col min="34" max="34" width="12.28515625" style="18" customWidth="1"/>
    <col min="35" max="39" width="15.42578125" style="18" customWidth="1"/>
    <col min="40" max="40" width="18.42578125" style="18" customWidth="1"/>
    <col min="41" max="41" width="35" style="18" customWidth="1"/>
    <col min="42" max="42" width="62" style="18" customWidth="1"/>
    <col min="43" max="43" width="9.140625" style="18" hidden="1" customWidth="1"/>
    <col min="44" max="46" width="9.140625" style="11" hidden="1" customWidth="1"/>
    <col min="47" max="47" width="9.140625" style="18" hidden="1" customWidth="1"/>
    <col min="48" max="54" width="10.42578125" style="18" hidden="1" customWidth="1"/>
    <col min="55" max="55" width="11.140625" style="18" hidden="1" customWidth="1"/>
    <col min="56" max="56" width="10.42578125" style="18" hidden="1" customWidth="1"/>
    <col min="57" max="58" width="8.5703125" style="18" hidden="1" customWidth="1"/>
    <col min="59" max="59" width="11.28515625" style="18" hidden="1" customWidth="1"/>
    <col min="60" max="61" width="8.5703125" style="18" hidden="1" customWidth="1"/>
    <col min="62" max="62" width="8.5703125" style="142" hidden="1" customWidth="1"/>
    <col min="63" max="63" width="8.5703125" style="18" hidden="1" customWidth="1"/>
    <col min="64" max="64" width="10.42578125" style="18" hidden="1" customWidth="1"/>
    <col min="65" max="68" width="9.5703125" style="18" hidden="1" customWidth="1"/>
    <col min="69" max="69" width="14.42578125" style="18" hidden="1" customWidth="1"/>
    <col min="70" max="72" width="9.5703125" style="18" hidden="1" customWidth="1"/>
    <col min="73" max="73" width="9.5703125" style="254" hidden="1" customWidth="1"/>
    <col min="74" max="74" width="14.140625" style="18" hidden="1" customWidth="1"/>
    <col min="75" max="75" width="11.28515625" style="18" hidden="1" customWidth="1"/>
    <col min="76" max="85" width="12.7109375" style="18" hidden="1" customWidth="1"/>
    <col min="86" max="86" width="9.140625" style="18" hidden="1" customWidth="1"/>
    <col min="87" max="91" width="12.42578125" style="18" hidden="1" customWidth="1"/>
    <col min="92" max="92" width="17.28515625" style="18" hidden="1" customWidth="1"/>
    <col min="93" max="93" width="14.7109375" style="18" hidden="1" customWidth="1"/>
    <col min="94" max="94" width="6.7109375" style="18" customWidth="1"/>
    <col min="95" max="95" width="15.7109375" style="18" customWidth="1"/>
    <col min="96" max="96" width="52.7109375" style="18" customWidth="1"/>
    <col min="97" max="16384" width="9.140625" style="18"/>
  </cols>
  <sheetData>
    <row r="2" spans="2:96" ht="19.5" thickBot="1" x14ac:dyDescent="0.3">
      <c r="B2" s="23" t="s">
        <v>564</v>
      </c>
      <c r="C2" s="23"/>
      <c r="D2" s="23"/>
      <c r="E2" s="23"/>
      <c r="F2" s="23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53" t="e">
        <f>VLOOKUP(IDENTIFICAÇÃO!C7,'AUX2'!C7:F57,3,FALSE)</f>
        <v>#N/A</v>
      </c>
    </row>
    <row r="4" spans="2:96" ht="19.5" thickBot="1" x14ac:dyDescent="0.3">
      <c r="B4" s="478" t="s">
        <v>260</v>
      </c>
      <c r="C4" s="481" t="s">
        <v>261</v>
      </c>
      <c r="D4" s="255"/>
      <c r="E4" s="255"/>
      <c r="F4" s="255"/>
      <c r="G4" s="473" t="s">
        <v>263</v>
      </c>
      <c r="H4" s="473"/>
      <c r="I4" s="391" t="s">
        <v>264</v>
      </c>
      <c r="J4" s="473" t="s">
        <v>406</v>
      </c>
      <c r="K4" s="473" t="s">
        <v>265</v>
      </c>
      <c r="L4" s="473" t="s">
        <v>266</v>
      </c>
      <c r="M4" s="110" t="s">
        <v>414</v>
      </c>
      <c r="N4" s="484" t="s">
        <v>412</v>
      </c>
      <c r="O4" s="484"/>
      <c r="P4" s="484"/>
      <c r="Q4" s="484"/>
      <c r="R4" s="484"/>
      <c r="S4" s="484"/>
      <c r="T4" s="484"/>
      <c r="U4" s="484"/>
      <c r="V4" s="484"/>
      <c r="W4" s="484"/>
      <c r="X4" s="484"/>
      <c r="Y4" s="485"/>
      <c r="Z4" s="486" t="s">
        <v>413</v>
      </c>
      <c r="AA4" s="486"/>
      <c r="AB4" s="486"/>
      <c r="AC4" s="486"/>
      <c r="AD4" s="486"/>
      <c r="AE4" s="486"/>
      <c r="AF4" s="486"/>
      <c r="AG4" s="487"/>
      <c r="AH4" s="488" t="s">
        <v>407</v>
      </c>
      <c r="AI4" s="489"/>
      <c r="AJ4" s="489"/>
      <c r="AK4" s="489"/>
      <c r="AL4" s="489"/>
      <c r="AM4" s="489"/>
      <c r="AN4" s="490"/>
      <c r="AO4" s="491" t="s">
        <v>275</v>
      </c>
      <c r="AP4" s="494" t="s">
        <v>276</v>
      </c>
      <c r="AV4" s="497" t="s">
        <v>442</v>
      </c>
      <c r="AW4" s="497"/>
      <c r="AX4" s="497"/>
      <c r="AY4" s="497"/>
      <c r="AZ4" s="497"/>
      <c r="BA4" s="497"/>
      <c r="BB4" s="497"/>
      <c r="BC4" s="497"/>
      <c r="BD4" s="22"/>
      <c r="BE4" s="497" t="s">
        <v>443</v>
      </c>
      <c r="BF4" s="497"/>
      <c r="BG4" s="497"/>
      <c r="BH4" s="497"/>
      <c r="BI4" s="497"/>
      <c r="BJ4" s="497"/>
      <c r="BK4" s="497"/>
      <c r="BL4" s="22"/>
      <c r="BM4" s="497" t="s">
        <v>444</v>
      </c>
      <c r="BN4" s="497"/>
      <c r="BO4" s="497"/>
      <c r="BP4" s="497"/>
      <c r="BQ4" s="497"/>
      <c r="BR4" s="497"/>
      <c r="BS4" s="497"/>
      <c r="BT4" s="497"/>
      <c r="BU4" s="497"/>
      <c r="BV4" s="497"/>
      <c r="BW4" s="22"/>
      <c r="BX4" s="503" t="s">
        <v>259</v>
      </c>
      <c r="BY4" s="504"/>
      <c r="BZ4" s="504"/>
      <c r="CA4" s="504"/>
      <c r="CB4" s="504"/>
      <c r="CC4" s="504"/>
      <c r="CD4" s="504"/>
      <c r="CE4" s="504"/>
      <c r="CF4" s="504"/>
      <c r="CG4" s="504"/>
      <c r="CI4" s="470" t="s">
        <v>393</v>
      </c>
      <c r="CJ4" s="470"/>
      <c r="CK4" s="470" t="s">
        <v>411</v>
      </c>
      <c r="CL4" s="470"/>
      <c r="CM4" s="470" t="s">
        <v>392</v>
      </c>
      <c r="CN4" s="470"/>
      <c r="CO4" s="387" t="s">
        <v>449</v>
      </c>
      <c r="CQ4" s="387" t="s">
        <v>449</v>
      </c>
      <c r="CR4" s="387" t="s">
        <v>537</v>
      </c>
    </row>
    <row r="5" spans="2:96" ht="15.75" customHeight="1" thickBot="1" x14ac:dyDescent="0.3">
      <c r="B5" s="479"/>
      <c r="C5" s="482"/>
      <c r="G5" s="476" t="s">
        <v>405</v>
      </c>
      <c r="H5" s="474" t="s">
        <v>284</v>
      </c>
      <c r="I5" s="474" t="s">
        <v>285</v>
      </c>
      <c r="J5" s="474"/>
      <c r="K5" s="474"/>
      <c r="L5" s="474"/>
      <c r="M5" s="505" t="s">
        <v>415</v>
      </c>
      <c r="N5" s="500" t="s">
        <v>267</v>
      </c>
      <c r="O5" s="500"/>
      <c r="P5" s="500" t="s">
        <v>268</v>
      </c>
      <c r="Q5" s="500"/>
      <c r="R5" s="499" t="s">
        <v>269</v>
      </c>
      <c r="S5" s="499" t="s">
        <v>270</v>
      </c>
      <c r="T5" s="498" t="s">
        <v>271</v>
      </c>
      <c r="U5" s="498" t="s">
        <v>272</v>
      </c>
      <c r="V5" s="500" t="s">
        <v>273</v>
      </c>
      <c r="W5" s="500"/>
      <c r="X5" s="500" t="s">
        <v>274</v>
      </c>
      <c r="Y5" s="500"/>
      <c r="Z5" s="501" t="s">
        <v>310</v>
      </c>
      <c r="AA5" s="501" t="s">
        <v>311</v>
      </c>
      <c r="AB5" s="501" t="s">
        <v>312</v>
      </c>
      <c r="AC5" s="508" t="s">
        <v>271</v>
      </c>
      <c r="AD5" s="508" t="s">
        <v>314</v>
      </c>
      <c r="AE5" s="508" t="s">
        <v>421</v>
      </c>
      <c r="AF5" s="509" t="s">
        <v>313</v>
      </c>
      <c r="AG5" s="509"/>
      <c r="AH5" s="510" t="s">
        <v>269</v>
      </c>
      <c r="AI5" s="511" t="s">
        <v>411</v>
      </c>
      <c r="AJ5" s="512"/>
      <c r="AK5" s="513" t="s">
        <v>280</v>
      </c>
      <c r="AL5" s="507" t="s">
        <v>461</v>
      </c>
      <c r="AM5" s="510" t="s">
        <v>270</v>
      </c>
      <c r="AN5" s="507" t="s">
        <v>314</v>
      </c>
      <c r="AO5" s="492"/>
      <c r="AP5" s="495"/>
      <c r="AR5" s="256" t="s">
        <v>277</v>
      </c>
      <c r="AS5" s="256" t="s">
        <v>277</v>
      </c>
      <c r="AT5" s="256" t="s">
        <v>277</v>
      </c>
      <c r="AV5" s="29" t="s">
        <v>417</v>
      </c>
      <c r="AW5" s="29"/>
      <c r="AX5" s="29" t="s">
        <v>418</v>
      </c>
      <c r="AY5" s="29"/>
      <c r="AZ5" s="29" t="s">
        <v>439</v>
      </c>
      <c r="BA5" s="29"/>
      <c r="BB5" s="29" t="s">
        <v>440</v>
      </c>
      <c r="BC5" s="22" t="s">
        <v>441</v>
      </c>
      <c r="BD5" s="22"/>
      <c r="BE5" s="25"/>
      <c r="BF5" s="25"/>
      <c r="BG5" s="25"/>
      <c r="BH5" s="25"/>
      <c r="BI5" s="25"/>
      <c r="BJ5" s="257"/>
      <c r="BK5" s="25"/>
      <c r="BL5" s="25"/>
      <c r="BM5" s="517" t="s">
        <v>315</v>
      </c>
      <c r="BN5" s="517" t="s">
        <v>316</v>
      </c>
      <c r="BO5" s="517" t="s">
        <v>317</v>
      </c>
      <c r="BP5" s="519" t="s">
        <v>296</v>
      </c>
      <c r="BQ5" s="517" t="s">
        <v>318</v>
      </c>
      <c r="BR5" s="517" t="s">
        <v>319</v>
      </c>
      <c r="BS5" s="517" t="s">
        <v>320</v>
      </c>
      <c r="BT5" s="517" t="s">
        <v>298</v>
      </c>
      <c r="BU5" s="520" t="s">
        <v>299</v>
      </c>
      <c r="BV5" s="519" t="s">
        <v>300</v>
      </c>
      <c r="BW5" s="25"/>
      <c r="BX5" s="515" t="s">
        <v>278</v>
      </c>
      <c r="BY5" s="515" t="s">
        <v>279</v>
      </c>
      <c r="BZ5" s="515" t="s">
        <v>445</v>
      </c>
      <c r="CA5" s="515" t="s">
        <v>317</v>
      </c>
      <c r="CB5" s="515" t="s">
        <v>296</v>
      </c>
      <c r="CC5" s="515" t="s">
        <v>318</v>
      </c>
      <c r="CD5" s="515" t="s">
        <v>320</v>
      </c>
      <c r="CE5" s="515" t="s">
        <v>298</v>
      </c>
      <c r="CF5" s="515" t="s">
        <v>299</v>
      </c>
      <c r="CG5" s="515" t="s">
        <v>300</v>
      </c>
      <c r="CI5" s="451" t="s">
        <v>393</v>
      </c>
      <c r="CJ5" s="451" t="s">
        <v>447</v>
      </c>
      <c r="CK5" s="451" t="s">
        <v>446</v>
      </c>
      <c r="CL5" s="451" t="s">
        <v>448</v>
      </c>
      <c r="CM5" s="451" t="s">
        <v>392</v>
      </c>
      <c r="CN5" s="451" t="s">
        <v>395</v>
      </c>
      <c r="CO5" s="451" t="s">
        <v>258</v>
      </c>
      <c r="CQ5" s="451" t="s">
        <v>258</v>
      </c>
      <c r="CR5" s="451" t="s">
        <v>536</v>
      </c>
    </row>
    <row r="6" spans="2:96" ht="15.75" thickBot="1" x14ac:dyDescent="0.3">
      <c r="B6" s="480"/>
      <c r="C6" s="483"/>
      <c r="D6" s="64"/>
      <c r="E6" s="64"/>
      <c r="F6" s="64"/>
      <c r="G6" s="477"/>
      <c r="H6" s="475"/>
      <c r="I6" s="475"/>
      <c r="J6" s="475"/>
      <c r="K6" s="475"/>
      <c r="L6" s="475"/>
      <c r="M6" s="506"/>
      <c r="N6" s="390" t="s">
        <v>286</v>
      </c>
      <c r="O6" s="390" t="s">
        <v>287</v>
      </c>
      <c r="P6" s="390" t="s">
        <v>286</v>
      </c>
      <c r="Q6" s="390" t="s">
        <v>287</v>
      </c>
      <c r="R6" s="499"/>
      <c r="S6" s="499"/>
      <c r="T6" s="498"/>
      <c r="U6" s="499"/>
      <c r="V6" s="123" t="s">
        <v>288</v>
      </c>
      <c r="W6" s="123" t="s">
        <v>289</v>
      </c>
      <c r="X6" s="123" t="s">
        <v>288</v>
      </c>
      <c r="Y6" s="123" t="s">
        <v>289</v>
      </c>
      <c r="Z6" s="502"/>
      <c r="AA6" s="502"/>
      <c r="AB6" s="502"/>
      <c r="AC6" s="501"/>
      <c r="AD6" s="501"/>
      <c r="AE6" s="501"/>
      <c r="AF6" s="388" t="s">
        <v>321</v>
      </c>
      <c r="AG6" s="388" t="s">
        <v>322</v>
      </c>
      <c r="AH6" s="510"/>
      <c r="AI6" s="389" t="s">
        <v>278</v>
      </c>
      <c r="AJ6" s="389" t="s">
        <v>279</v>
      </c>
      <c r="AK6" s="514"/>
      <c r="AL6" s="507"/>
      <c r="AM6" s="510"/>
      <c r="AN6" s="507"/>
      <c r="AO6" s="493"/>
      <c r="AP6" s="496"/>
      <c r="AR6" s="258" t="s">
        <v>290</v>
      </c>
      <c r="AS6" s="258" t="s">
        <v>291</v>
      </c>
      <c r="AT6" s="258" t="s">
        <v>292</v>
      </c>
      <c r="AV6" s="25" t="s">
        <v>293</v>
      </c>
      <c r="AW6" s="25"/>
      <c r="AX6" s="25"/>
      <c r="AY6" s="25"/>
      <c r="AZ6" s="25"/>
      <c r="BA6" s="25"/>
      <c r="BB6" s="25"/>
      <c r="BC6" s="26" t="s">
        <v>462</v>
      </c>
      <c r="BD6" s="26"/>
      <c r="BE6" s="26" t="s">
        <v>295</v>
      </c>
      <c r="BF6" s="26" t="s">
        <v>296</v>
      </c>
      <c r="BG6" s="26" t="s">
        <v>16</v>
      </c>
      <c r="BH6" s="26" t="s">
        <v>297</v>
      </c>
      <c r="BI6" s="26" t="s">
        <v>298</v>
      </c>
      <c r="BJ6" s="259" t="s">
        <v>299</v>
      </c>
      <c r="BK6" s="26" t="s">
        <v>300</v>
      </c>
      <c r="BL6" s="26"/>
      <c r="BM6" s="518"/>
      <c r="BN6" s="518"/>
      <c r="BO6" s="518"/>
      <c r="BP6" s="518"/>
      <c r="BQ6" s="518"/>
      <c r="BR6" s="518"/>
      <c r="BS6" s="518"/>
      <c r="BT6" s="518"/>
      <c r="BU6" s="521"/>
      <c r="BV6" s="518"/>
      <c r="BW6" s="26"/>
      <c r="BX6" s="516"/>
      <c r="BY6" s="516"/>
      <c r="BZ6" s="516"/>
      <c r="CA6" s="516"/>
      <c r="CB6" s="516"/>
      <c r="CC6" s="516"/>
      <c r="CD6" s="516"/>
      <c r="CE6" s="516"/>
      <c r="CF6" s="516"/>
      <c r="CG6" s="516"/>
      <c r="CI6" s="522"/>
      <c r="CJ6" s="522"/>
      <c r="CK6" s="522"/>
      <c r="CL6" s="522"/>
      <c r="CM6" s="522"/>
      <c r="CN6" s="522"/>
      <c r="CO6" s="522"/>
      <c r="CQ6" s="522"/>
      <c r="CR6" s="522"/>
    </row>
    <row r="7" spans="2:96" s="264" customFormat="1" ht="15.75" thickBot="1" x14ac:dyDescent="0.3">
      <c r="B7" s="34">
        <v>1</v>
      </c>
      <c r="C7" s="260" t="str">
        <f>IF(G7="","",CONCATENATE($V$2," - ",TEXT(B7,"00"),AS7," - ",AR7,"-",AT7))</f>
        <v/>
      </c>
      <c r="D7" s="261"/>
      <c r="E7" s="262"/>
      <c r="F7" s="263"/>
      <c r="G7" s="124"/>
      <c r="H7" s="124"/>
      <c r="I7" s="125"/>
      <c r="J7" s="301"/>
      <c r="K7" s="301"/>
      <c r="L7" s="301"/>
      <c r="M7" s="302"/>
      <c r="N7" s="126"/>
      <c r="O7" s="127"/>
      <c r="P7" s="128"/>
      <c r="Q7" s="127"/>
      <c r="R7" s="303"/>
      <c r="S7" s="304"/>
      <c r="T7" s="124"/>
      <c r="U7" s="305"/>
      <c r="V7" s="301"/>
      <c r="W7" s="305"/>
      <c r="X7" s="301"/>
      <c r="Y7" s="306"/>
      <c r="Z7" s="307"/>
      <c r="AA7" s="305"/>
      <c r="AB7" s="305"/>
      <c r="AC7" s="124"/>
      <c r="AD7" s="125"/>
      <c r="AE7" s="305"/>
      <c r="AF7" s="125"/>
      <c r="AG7" s="125"/>
      <c r="AH7" s="308"/>
      <c r="AI7" s="130"/>
      <c r="AJ7" s="130"/>
      <c r="AK7" s="146"/>
      <c r="AL7" s="124"/>
      <c r="AM7" s="125"/>
      <c r="AN7" s="125"/>
      <c r="AO7" s="309"/>
      <c r="AP7" s="310"/>
      <c r="AR7" s="265" t="str">
        <f>IF(G7="","",VLOOKUP(G7,'AUX2'!$C$62:$G$93,2,0))</f>
        <v/>
      </c>
      <c r="AS7" s="265" t="str">
        <f>IF(G7="","",VLOOKUP(G7,'AUX2'!$C$62:$G$93,3,0))</f>
        <v/>
      </c>
      <c r="AT7" s="265" t="str">
        <f>IF(H7="","",VLOOKUP(H7,'AUX2'!$C$98:$D$102,2,0))</f>
        <v/>
      </c>
      <c r="AU7" s="266"/>
      <c r="AV7" s="267">
        <f>IF(R7="",0,R7)</f>
        <v>0</v>
      </c>
      <c r="AW7" s="268">
        <f>IF(AV7="",0,AV7*'AUX2'!$K$129)</f>
        <v>0</v>
      </c>
      <c r="AX7" s="269">
        <f>IF(AB7="",0,(AB7*Z7))</f>
        <v>0</v>
      </c>
      <c r="AY7" s="270">
        <f>IF(AX7="",0,AX7*'AUX2'!$K$129)</f>
        <v>0</v>
      </c>
      <c r="AZ7" s="271">
        <f>IF(AH7="",0,AH7)</f>
        <v>0</v>
      </c>
      <c r="BA7" s="272">
        <f>IF(AZ7="",0,AZ7*'AUX2'!$K$129)</f>
        <v>0</v>
      </c>
      <c r="BB7" s="273">
        <f>AV7+AX7+AZ7</f>
        <v>0</v>
      </c>
      <c r="BC7" s="274">
        <f>IF(BB7="",0,BB7*'AUX2'!$K$129)</f>
        <v>0</v>
      </c>
      <c r="BD7" s="275"/>
      <c r="BE7" s="276" t="str">
        <f>IF(S7="","",S7)</f>
        <v/>
      </c>
      <c r="BF7" s="277" t="str">
        <f>IF(BE7="","",VLOOKUP(T7,'AUX2'!$C$121:$E$125,2,0))</f>
        <v/>
      </c>
      <c r="BG7" s="277" t="str">
        <f>IF(BE7="","",BE7*BF7)</f>
        <v/>
      </c>
      <c r="BH7" s="267" t="str">
        <f>IF(BE7="","",ROUND(((P7+Q7)-(N7+O7))*24,0))</f>
        <v/>
      </c>
      <c r="BI7" s="278" t="str">
        <f>IF(BE7="","",VLOOKUP(T7,'AUX2'!$C$121:$E$125,3,0))</f>
        <v/>
      </c>
      <c r="BJ7" s="277">
        <f>IF(BE7&lt;=300,'AUX2'!$D$129,IF(AND(BE7&gt;300,BE7&lt;=600),'AUX2'!$D$130,IF(AND(BE7&gt;600,BE7&lt;=900),'AUX2'!$D$131,IF(AND(BE7&gt;900,BE7&lt;=1200),'AUX2'!$D$132,IF(AND(BE7&gt;1200,BE7&lt;=1500),'AUX2'!$D$133,IF(BE7&gt;1500,'AUX2'!$D$134))))))</f>
        <v>0</v>
      </c>
      <c r="BK7" s="277">
        <f>IF(BH7="",0,BH7*BI7*BJ7)</f>
        <v>0</v>
      </c>
      <c r="BL7" s="279"/>
      <c r="BM7" s="280" t="str">
        <f>IF(Z7="","",Z7)</f>
        <v/>
      </c>
      <c r="BN7" s="281" t="str">
        <f>IF(AA7="","",AA7)</f>
        <v/>
      </c>
      <c r="BO7" s="269" t="str">
        <f>IF(AA7="","",BM7*BN7)</f>
        <v/>
      </c>
      <c r="BP7" s="282" t="str">
        <f>IF(BO7="","",VLOOKUP(AC7,'AUX2'!$C$121:$E$125,2,0))</f>
        <v/>
      </c>
      <c r="BQ7" s="282" t="str">
        <f t="shared" ref="BQ7" si="0">IF(BO7="","",BO7*BP7)</f>
        <v/>
      </c>
      <c r="BR7" s="269" t="str">
        <f>IF(AD7="","",AD7)</f>
        <v/>
      </c>
      <c r="BS7" s="269" t="str">
        <f>IF(BR7="","",BM7*BR7)</f>
        <v/>
      </c>
      <c r="BT7" s="282" t="str">
        <f>IF(BO7="","",VLOOKUP(AC7,'AUX2'!$C$121:$E$125,3,0))</f>
        <v/>
      </c>
      <c r="BU7" s="283">
        <f>IF(BN7&lt;=300,'AUX2'!$D$129,IF(AND(BN7&gt;300,BN7&lt;=600),'AUX2'!$D$130,IF(AND(BN7&gt;600,BN7&lt;=900),'AUX2'!$D$131,IF(AND(BN7&gt;900,BN7&lt;=1200),'AUX2'!$D$132,IF(AND(BN7&gt;1200,BN7&lt;=1500),'AUX2'!$D$133,IF(BN7&gt;1500,'AUX2'!$D$134))))))</f>
        <v>0</v>
      </c>
      <c r="BV7" s="284">
        <f>IF(BS7="",0,BS7*BT7*BU7)</f>
        <v>0</v>
      </c>
      <c r="BW7" s="279"/>
      <c r="BX7" s="285">
        <f>AI7</f>
        <v>0</v>
      </c>
      <c r="BY7" s="285">
        <f>AJ7</f>
        <v>0</v>
      </c>
      <c r="BZ7" s="285">
        <f>AK7*'AUX2'!$K$137</f>
        <v>0</v>
      </c>
      <c r="CA7" s="285" t="str">
        <f>IF(AM7="","",AM7)</f>
        <v/>
      </c>
      <c r="CB7" s="285" t="str">
        <f>IF(CA7="","",VLOOKUP(AL7,'AUX2'!$C$121:$E$125,2,0))</f>
        <v/>
      </c>
      <c r="CC7" s="285" t="str">
        <f>IF(CA7="","",CA7*CB7)</f>
        <v/>
      </c>
      <c r="CD7" s="285" t="str">
        <f>IF(AN7="","",AN7)</f>
        <v/>
      </c>
      <c r="CE7" s="285" t="str">
        <f>IF(CA7="","",VLOOKUP(AL7,'AUX2'!$C$121:$E$125,3,0))</f>
        <v/>
      </c>
      <c r="CF7" s="285">
        <f>IF(CA7&lt;=300,'AUX2'!$D$129,IF(AND(CA7&gt;300,CA7&lt;=600),'AUX2'!$D$130,IF(AND(CA7&gt;600,CA7&lt;=900),'AUX2'!$D$131,IF(AND(CA7&gt;900,CA7&lt;=1200),'AUX2'!$D$132,IF(AND(CA7&gt;1200,CA7&lt;=1500),'AUX2'!$D$133,IF(CA7&gt;1500,'AUX2'!$D$134))))))</f>
        <v>0</v>
      </c>
      <c r="CG7" s="285">
        <f>IF(CD7="",0,CD7*CE7*CF7)</f>
        <v>0</v>
      </c>
      <c r="CI7" s="286">
        <f>BC7</f>
        <v>0</v>
      </c>
      <c r="CJ7" s="287">
        <f>BZ7</f>
        <v>0</v>
      </c>
      <c r="CK7" s="287">
        <f>BX7</f>
        <v>0</v>
      </c>
      <c r="CL7" s="287">
        <f>BY7</f>
        <v>0</v>
      </c>
      <c r="CM7" s="288">
        <f>IFERROR((BG7+BQ7+CC7),0)</f>
        <v>0</v>
      </c>
      <c r="CN7" s="289">
        <f>IFERROR(BK7+BV7+CG7,0)</f>
        <v>0</v>
      </c>
      <c r="CO7" s="290">
        <f>SUM(CI7:CN7)</f>
        <v>0</v>
      </c>
      <c r="CQ7" s="291" t="str">
        <f>IF(CO7&gt;0,CO7,"")</f>
        <v/>
      </c>
      <c r="CR7" s="392"/>
    </row>
    <row r="8" spans="2:96" s="264" customFormat="1" ht="15.75" thickBot="1" x14ac:dyDescent="0.3">
      <c r="B8" s="34">
        <v>2</v>
      </c>
      <c r="C8" s="292" t="str">
        <f t="shared" ref="C8:C36" si="1">IF(G8="","",CONCATENATE($V$2," - ",TEXT(B8,"00"),AS8," - ",AR8,"-",AT8))</f>
        <v/>
      </c>
      <c r="D8" s="293"/>
      <c r="E8" s="294"/>
      <c r="F8" s="295"/>
      <c r="G8" s="124"/>
      <c r="H8" s="124"/>
      <c r="I8" s="125"/>
      <c r="J8" s="150"/>
      <c r="K8" s="150"/>
      <c r="L8" s="150"/>
      <c r="M8" s="311"/>
      <c r="N8" s="132"/>
      <c r="O8" s="133"/>
      <c r="P8" s="134"/>
      <c r="Q8" s="133"/>
      <c r="R8" s="312"/>
      <c r="S8" s="313"/>
      <c r="T8" s="124"/>
      <c r="U8" s="314"/>
      <c r="V8" s="150"/>
      <c r="W8" s="314"/>
      <c r="X8" s="150"/>
      <c r="Y8" s="315"/>
      <c r="Z8" s="316"/>
      <c r="AA8" s="314"/>
      <c r="AB8" s="314"/>
      <c r="AC8" s="124"/>
      <c r="AD8" s="81"/>
      <c r="AE8" s="314"/>
      <c r="AF8" s="125"/>
      <c r="AG8" s="125"/>
      <c r="AH8" s="317"/>
      <c r="AI8" s="135"/>
      <c r="AJ8" s="135"/>
      <c r="AK8" s="147"/>
      <c r="AL8" s="124"/>
      <c r="AM8" s="148"/>
      <c r="AN8" s="148"/>
      <c r="AO8" s="318"/>
      <c r="AP8" s="319"/>
      <c r="AR8" s="265" t="str">
        <f>IF(G8="","",VLOOKUP(G8,'AUX2'!$C$62:$G$93,2,0))</f>
        <v/>
      </c>
      <c r="AS8" s="265" t="str">
        <f>IF(G8="","",VLOOKUP(G8,'AUX2'!$C$62:$G$93,3,0))</f>
        <v/>
      </c>
      <c r="AT8" s="265" t="str">
        <f>IF(H8="","",VLOOKUP(H8,'AUX2'!$C$98:$D$102,2,0))</f>
        <v/>
      </c>
      <c r="AU8" s="266"/>
      <c r="AV8" s="267">
        <f t="shared" ref="AV8:AV36" si="2">IF(R8="",0,R8)</f>
        <v>0</v>
      </c>
      <c r="AW8" s="268">
        <f>IF(AV8="",0,AV8*'AUX2'!$K$129)</f>
        <v>0</v>
      </c>
      <c r="AX8" s="269">
        <f t="shared" ref="AX8:AX36" si="3">IF(AB8="",0,(AB8*Z8))</f>
        <v>0</v>
      </c>
      <c r="AY8" s="270">
        <f>IF(AX8="",0,AX8*'AUX2'!$K$129)</f>
        <v>0</v>
      </c>
      <c r="AZ8" s="271">
        <f t="shared" ref="AZ8:AZ36" si="4">IF(AH8="",0,AH8)</f>
        <v>0</v>
      </c>
      <c r="BA8" s="272">
        <f>IF(AZ8="",0,AZ8*'AUX2'!$K$129)</f>
        <v>0</v>
      </c>
      <c r="BB8" s="273">
        <f t="shared" ref="BB8:BB36" si="5">AV8+AX8+AZ8</f>
        <v>0</v>
      </c>
      <c r="BC8" s="274">
        <f>IF(BB8="",0,BB8*'AUX2'!$K$129)</f>
        <v>0</v>
      </c>
      <c r="BD8" s="275"/>
      <c r="BE8" s="276" t="str">
        <f t="shared" ref="BE8:BE36" si="6">IF(S8="","",S8)</f>
        <v/>
      </c>
      <c r="BF8" s="277" t="str">
        <f>IF(BE8="","",VLOOKUP(T8,'AUX2'!$C$121:$E$125,2,0))</f>
        <v/>
      </c>
      <c r="BG8" s="277" t="str">
        <f t="shared" ref="BG8:BG36" si="7">IF(BE8="","",BE8*BF8)</f>
        <v/>
      </c>
      <c r="BH8" s="267" t="str">
        <f t="shared" ref="BH8:BH36" si="8">IF(BE8="","",ROUND(((P8+Q8)-(N8+O8))*24,0))</f>
        <v/>
      </c>
      <c r="BI8" s="278" t="str">
        <f>IF(BE8="","",VLOOKUP(T8,'AUX2'!$C$121:$E$125,3,0))</f>
        <v/>
      </c>
      <c r="BJ8" s="277">
        <f>IF(BE8&lt;=300,'AUX2'!$D$129,IF(AND(BE8&gt;300,BE8&lt;=600),'AUX2'!$D$130,IF(AND(BE8&gt;600,BE8&lt;=900),'AUX2'!$D$131,IF(AND(BE8&gt;900,BE8&lt;=1200),'AUX2'!$D$132,IF(AND(BE8&gt;1200,BE8&lt;=1500),'AUX2'!$D$133,IF(BE8&gt;1500,'AUX2'!$D$134))))))</f>
        <v>0</v>
      </c>
      <c r="BK8" s="277">
        <f t="shared" ref="BK8:BK36" si="9">IF(BH8="",0,BH8*BI8*BJ8)</f>
        <v>0</v>
      </c>
      <c r="BL8" s="279"/>
      <c r="BM8" s="280" t="str">
        <f t="shared" ref="BM8:BM36" si="10">IF(Z8="","",Z8)</f>
        <v/>
      </c>
      <c r="BN8" s="281" t="str">
        <f t="shared" ref="BN8:BN36" si="11">IF(AA8="","",AA8)</f>
        <v/>
      </c>
      <c r="BO8" s="269" t="str">
        <f t="shared" ref="BO8:BO36" si="12">IF(AA8="","",BM8*BN8)</f>
        <v/>
      </c>
      <c r="BP8" s="282" t="str">
        <f>IF(BO8="","",VLOOKUP(AC8,'AUX2'!$C$121:$E$125,2,0))</f>
        <v/>
      </c>
      <c r="BQ8" s="282" t="str">
        <f t="shared" ref="BQ8:BQ36" si="13">IF(BO8="","",BO8*BP8)</f>
        <v/>
      </c>
      <c r="BR8" s="269" t="str">
        <f t="shared" ref="BR8:BR36" si="14">IF(AD8="","",AD8)</f>
        <v/>
      </c>
      <c r="BS8" s="269" t="str">
        <f t="shared" ref="BS8:BS36" si="15">IF(BR8="","",BM8*BR8)</f>
        <v/>
      </c>
      <c r="BT8" s="282" t="str">
        <f>IF(BO8="","",VLOOKUP(AC8,'AUX2'!$C$121:$E$125,3,0))</f>
        <v/>
      </c>
      <c r="BU8" s="283">
        <f>IF(BN8&lt;=300,'AUX2'!$D$129,IF(AND(BN8&gt;300,BN8&lt;=600),'AUX2'!$D$130,IF(AND(BN8&gt;600,BN8&lt;=900),'AUX2'!$D$131,IF(AND(BN8&gt;900,BN8&lt;=1200),'AUX2'!$D$132,IF(AND(BN8&gt;1200,BN8&lt;=1500),'AUX2'!$D$133,IF(BN8&gt;1500,'AUX2'!$D$134))))))</f>
        <v>0</v>
      </c>
      <c r="BV8" s="284">
        <f t="shared" ref="BV8:BV36" si="16">IF(BS8="",0,BS8*BT8*BU8)</f>
        <v>0</v>
      </c>
      <c r="BW8" s="279"/>
      <c r="BX8" s="285">
        <f t="shared" ref="BX8:BX36" si="17">AI8</f>
        <v>0</v>
      </c>
      <c r="BY8" s="285">
        <f t="shared" ref="BY8:BY36" si="18">AJ8</f>
        <v>0</v>
      </c>
      <c r="BZ8" s="285">
        <f>AK8*'AUX2'!$K$137</f>
        <v>0</v>
      </c>
      <c r="CA8" s="285" t="str">
        <f t="shared" ref="CA8:CA36" si="19">IF(AM8="","",AM8)</f>
        <v/>
      </c>
      <c r="CB8" s="285" t="str">
        <f>IF(CA8="","",VLOOKUP(AL8,'AUX2'!$C$121:$E$125,2,0))</f>
        <v/>
      </c>
      <c r="CC8" s="285" t="str">
        <f t="shared" ref="CC8:CC36" si="20">IF(CA8="","",CA8*CB8)</f>
        <v/>
      </c>
      <c r="CD8" s="285" t="str">
        <f t="shared" ref="CD8:CD36" si="21">IF(AN8="","",AN8)</f>
        <v/>
      </c>
      <c r="CE8" s="285" t="str">
        <f>IF(CA8="","",VLOOKUP(AL8,'AUX2'!$C$121:$E$125,3,0))</f>
        <v/>
      </c>
      <c r="CF8" s="285">
        <f>IF(CA8&lt;=300,'AUX2'!$D$129,IF(AND(CA8&gt;300,CA8&lt;=600),'AUX2'!$D$130,IF(AND(CA8&gt;600,CA8&lt;=900),'AUX2'!$D$131,IF(AND(CA8&gt;900,CA8&lt;=1200),'AUX2'!$D$132,IF(AND(CA8&gt;1200,CA8&lt;=1500),'AUX2'!$D$133,IF(CA8&gt;1500,'AUX2'!$D$134))))))</f>
        <v>0</v>
      </c>
      <c r="CG8" s="285">
        <f t="shared" ref="CG8:CG36" si="22">IF(CD8="",0,CD8*CE8*CF8)</f>
        <v>0</v>
      </c>
      <c r="CI8" s="286">
        <f t="shared" ref="CI8:CI36" si="23">BC8</f>
        <v>0</v>
      </c>
      <c r="CJ8" s="287">
        <f t="shared" ref="CJ8:CJ36" si="24">BZ8</f>
        <v>0</v>
      </c>
      <c r="CK8" s="287">
        <f t="shared" ref="CK8:CL36" si="25">BX8</f>
        <v>0</v>
      </c>
      <c r="CL8" s="287">
        <f t="shared" si="25"/>
        <v>0</v>
      </c>
      <c r="CM8" s="288">
        <f t="shared" ref="CM8:CM36" si="26">IFERROR((BG8+BQ8+CC8),0)</f>
        <v>0</v>
      </c>
      <c r="CN8" s="289">
        <f t="shared" ref="CN8:CN36" si="27">IFERROR(BK8+BV8+CG8,0)</f>
        <v>0</v>
      </c>
      <c r="CO8" s="290">
        <f t="shared" ref="CO8:CO36" si="28">SUM(CI8:CN8)</f>
        <v>0</v>
      </c>
      <c r="CQ8" s="291" t="str">
        <f t="shared" ref="CQ8:CQ36" si="29">IF(CO8&gt;0,CO8,"")</f>
        <v/>
      </c>
      <c r="CR8" s="392"/>
    </row>
    <row r="9" spans="2:96" s="264" customFormat="1" ht="15.75" thickBot="1" x14ac:dyDescent="0.3">
      <c r="B9" s="34">
        <v>3</v>
      </c>
      <c r="C9" s="292" t="str">
        <f t="shared" si="1"/>
        <v/>
      </c>
      <c r="D9" s="293"/>
      <c r="E9" s="294"/>
      <c r="F9" s="295"/>
      <c r="G9" s="124"/>
      <c r="H9" s="124"/>
      <c r="I9" s="125"/>
      <c r="J9" s="150"/>
      <c r="K9" s="150"/>
      <c r="L9" s="150"/>
      <c r="M9" s="311"/>
      <c r="N9" s="132"/>
      <c r="O9" s="133"/>
      <c r="P9" s="134"/>
      <c r="Q9" s="133"/>
      <c r="R9" s="312"/>
      <c r="S9" s="313"/>
      <c r="T9" s="124"/>
      <c r="U9" s="314"/>
      <c r="V9" s="150"/>
      <c r="W9" s="314"/>
      <c r="X9" s="150"/>
      <c r="Y9" s="315"/>
      <c r="Z9" s="316"/>
      <c r="AA9" s="314"/>
      <c r="AB9" s="314"/>
      <c r="AC9" s="124"/>
      <c r="AD9" s="81"/>
      <c r="AE9" s="314"/>
      <c r="AF9" s="125"/>
      <c r="AG9" s="125"/>
      <c r="AH9" s="317"/>
      <c r="AI9" s="135"/>
      <c r="AJ9" s="135"/>
      <c r="AK9" s="147"/>
      <c r="AL9" s="124"/>
      <c r="AM9" s="148"/>
      <c r="AN9" s="148"/>
      <c r="AO9" s="318"/>
      <c r="AP9" s="319"/>
      <c r="AR9" s="265" t="str">
        <f>IF(G9="","",VLOOKUP(G9,'AUX2'!$C$62:$G$93,2,0))</f>
        <v/>
      </c>
      <c r="AS9" s="265" t="str">
        <f>IF(G9="","",VLOOKUP(G9,'AUX2'!$C$62:$G$93,3,0))</f>
        <v/>
      </c>
      <c r="AT9" s="265" t="str">
        <f>IF(H9="","",VLOOKUP(H9,'AUX2'!$C$98:$D$102,2,0))</f>
        <v/>
      </c>
      <c r="AU9" s="266"/>
      <c r="AV9" s="267">
        <f t="shared" si="2"/>
        <v>0</v>
      </c>
      <c r="AW9" s="268">
        <f>IF(AV9="",0,AV9*'AUX2'!$K$129)</f>
        <v>0</v>
      </c>
      <c r="AX9" s="269">
        <f t="shared" si="3"/>
        <v>0</v>
      </c>
      <c r="AY9" s="270">
        <f>IF(AX9="",0,AX9*'AUX2'!$K$129)</f>
        <v>0</v>
      </c>
      <c r="AZ9" s="271">
        <f t="shared" si="4"/>
        <v>0</v>
      </c>
      <c r="BA9" s="272">
        <f>IF(AZ9="",0,AZ9*'AUX2'!$K$129)</f>
        <v>0</v>
      </c>
      <c r="BB9" s="273">
        <f t="shared" si="5"/>
        <v>0</v>
      </c>
      <c r="BC9" s="274">
        <f>IF(BB9="",0,BB9*'AUX2'!$K$129)</f>
        <v>0</v>
      </c>
      <c r="BD9" s="275"/>
      <c r="BE9" s="276" t="str">
        <f t="shared" si="6"/>
        <v/>
      </c>
      <c r="BF9" s="277" t="str">
        <f>IF(BE9="","",VLOOKUP(T9,'AUX2'!$C$121:$E$125,2,0))</f>
        <v/>
      </c>
      <c r="BG9" s="277" t="str">
        <f t="shared" si="7"/>
        <v/>
      </c>
      <c r="BH9" s="267" t="str">
        <f t="shared" si="8"/>
        <v/>
      </c>
      <c r="BI9" s="278" t="str">
        <f>IF(BE9="","",VLOOKUP(T9,'AUX2'!$C$121:$E$125,3,0))</f>
        <v/>
      </c>
      <c r="BJ9" s="277">
        <f>IF(BE9&lt;=300,'AUX2'!$D$129,IF(AND(BE9&gt;300,BE9&lt;=600),'AUX2'!$D$130,IF(AND(BE9&gt;600,BE9&lt;=900),'AUX2'!$D$131,IF(AND(BE9&gt;900,BE9&lt;=1200),'AUX2'!$D$132,IF(AND(BE9&gt;1200,BE9&lt;=1500),'AUX2'!$D$133,IF(BE9&gt;1500,'AUX2'!$D$134))))))</f>
        <v>0</v>
      </c>
      <c r="BK9" s="277">
        <f t="shared" si="9"/>
        <v>0</v>
      </c>
      <c r="BL9" s="279"/>
      <c r="BM9" s="280" t="str">
        <f t="shared" si="10"/>
        <v/>
      </c>
      <c r="BN9" s="281" t="str">
        <f t="shared" si="11"/>
        <v/>
      </c>
      <c r="BO9" s="269" t="str">
        <f t="shared" si="12"/>
        <v/>
      </c>
      <c r="BP9" s="282" t="str">
        <f>IF(BO9="","",VLOOKUP(AC9,'AUX2'!$C$121:$E$125,2,0))</f>
        <v/>
      </c>
      <c r="BQ9" s="282" t="str">
        <f t="shared" si="13"/>
        <v/>
      </c>
      <c r="BR9" s="269" t="str">
        <f t="shared" si="14"/>
        <v/>
      </c>
      <c r="BS9" s="269" t="str">
        <f t="shared" si="15"/>
        <v/>
      </c>
      <c r="BT9" s="282" t="str">
        <f>IF(BO9="","",VLOOKUP(AC9,'AUX2'!$C$121:$E$125,3,0))</f>
        <v/>
      </c>
      <c r="BU9" s="283">
        <f>IF(BN9&lt;=300,'AUX2'!$D$129,IF(AND(BN9&gt;300,BN9&lt;=600),'AUX2'!$D$130,IF(AND(BN9&gt;600,BN9&lt;=900),'AUX2'!$D$131,IF(AND(BN9&gt;900,BN9&lt;=1200),'AUX2'!$D$132,IF(AND(BN9&gt;1200,BN9&lt;=1500),'AUX2'!$D$133,IF(BN9&gt;1500,'AUX2'!$D$134))))))</f>
        <v>0</v>
      </c>
      <c r="BV9" s="284">
        <f t="shared" si="16"/>
        <v>0</v>
      </c>
      <c r="BW9" s="279"/>
      <c r="BX9" s="285">
        <f t="shared" si="17"/>
        <v>0</v>
      </c>
      <c r="BY9" s="285">
        <f t="shared" si="18"/>
        <v>0</v>
      </c>
      <c r="BZ9" s="285">
        <f>AK9*'AUX2'!$K$137</f>
        <v>0</v>
      </c>
      <c r="CA9" s="285" t="str">
        <f t="shared" si="19"/>
        <v/>
      </c>
      <c r="CB9" s="285" t="str">
        <f>IF(CA9="","",VLOOKUP(AL9,'AUX2'!$C$121:$E$125,2,0))</f>
        <v/>
      </c>
      <c r="CC9" s="285" t="str">
        <f t="shared" si="20"/>
        <v/>
      </c>
      <c r="CD9" s="285" t="str">
        <f t="shared" si="21"/>
        <v/>
      </c>
      <c r="CE9" s="285" t="str">
        <f>IF(CA9="","",VLOOKUP(AL9,'AUX2'!$C$121:$E$125,3,0))</f>
        <v/>
      </c>
      <c r="CF9" s="285">
        <f>IF(CA9&lt;=300,'AUX2'!$D$129,IF(AND(CA9&gt;300,CA9&lt;=600),'AUX2'!$D$130,IF(AND(CA9&gt;600,CA9&lt;=900),'AUX2'!$D$131,IF(AND(CA9&gt;900,CA9&lt;=1200),'AUX2'!$D$132,IF(AND(CA9&gt;1200,CA9&lt;=1500),'AUX2'!$D$133,IF(CA9&gt;1500,'AUX2'!$D$134))))))</f>
        <v>0</v>
      </c>
      <c r="CG9" s="285">
        <f t="shared" si="22"/>
        <v>0</v>
      </c>
      <c r="CI9" s="286">
        <f t="shared" si="23"/>
        <v>0</v>
      </c>
      <c r="CJ9" s="287">
        <f t="shared" si="24"/>
        <v>0</v>
      </c>
      <c r="CK9" s="287">
        <f t="shared" si="25"/>
        <v>0</v>
      </c>
      <c r="CL9" s="287">
        <f t="shared" si="25"/>
        <v>0</v>
      </c>
      <c r="CM9" s="288">
        <f t="shared" si="26"/>
        <v>0</v>
      </c>
      <c r="CN9" s="289">
        <f t="shared" si="27"/>
        <v>0</v>
      </c>
      <c r="CO9" s="290">
        <f t="shared" si="28"/>
        <v>0</v>
      </c>
      <c r="CQ9" s="291" t="str">
        <f t="shared" si="29"/>
        <v/>
      </c>
      <c r="CR9" s="392"/>
    </row>
    <row r="10" spans="2:96" s="264" customFormat="1" ht="15.75" thickBot="1" x14ac:dyDescent="0.3">
      <c r="B10" s="34">
        <v>4</v>
      </c>
      <c r="C10" s="292" t="str">
        <f t="shared" si="1"/>
        <v/>
      </c>
      <c r="D10" s="293"/>
      <c r="E10" s="294"/>
      <c r="F10" s="295"/>
      <c r="G10" s="124"/>
      <c r="H10" s="124"/>
      <c r="I10" s="125"/>
      <c r="J10" s="150"/>
      <c r="K10" s="150"/>
      <c r="L10" s="150"/>
      <c r="M10" s="311"/>
      <c r="N10" s="132"/>
      <c r="O10" s="133"/>
      <c r="P10" s="134"/>
      <c r="Q10" s="133"/>
      <c r="R10" s="312"/>
      <c r="S10" s="313"/>
      <c r="T10" s="124"/>
      <c r="U10" s="314"/>
      <c r="V10" s="150"/>
      <c r="W10" s="314"/>
      <c r="X10" s="150"/>
      <c r="Y10" s="315"/>
      <c r="Z10" s="316"/>
      <c r="AA10" s="314"/>
      <c r="AB10" s="314"/>
      <c r="AC10" s="124"/>
      <c r="AD10" s="81"/>
      <c r="AE10" s="314"/>
      <c r="AF10" s="125"/>
      <c r="AG10" s="125"/>
      <c r="AH10" s="317"/>
      <c r="AI10" s="135"/>
      <c r="AJ10" s="135"/>
      <c r="AK10" s="147"/>
      <c r="AL10" s="124"/>
      <c r="AM10" s="148"/>
      <c r="AN10" s="148"/>
      <c r="AO10" s="318"/>
      <c r="AP10" s="319"/>
      <c r="AR10" s="265" t="str">
        <f>IF(G10="","",VLOOKUP(G10,'AUX2'!$C$62:$G$93,2,0))</f>
        <v/>
      </c>
      <c r="AS10" s="265" t="str">
        <f>IF(G10="","",VLOOKUP(G10,'AUX2'!$C$62:$G$93,3,0))</f>
        <v/>
      </c>
      <c r="AT10" s="265" t="str">
        <f>IF(H10="","",VLOOKUP(H10,'AUX2'!$C$98:$D$102,2,0))</f>
        <v/>
      </c>
      <c r="AU10" s="266"/>
      <c r="AV10" s="267">
        <f t="shared" si="2"/>
        <v>0</v>
      </c>
      <c r="AW10" s="268">
        <f>IF(AV10="",0,AV10*'AUX2'!$K$129)</f>
        <v>0</v>
      </c>
      <c r="AX10" s="269">
        <f t="shared" si="3"/>
        <v>0</v>
      </c>
      <c r="AY10" s="270">
        <f>IF(AX10="",0,AX10*'AUX2'!$K$129)</f>
        <v>0</v>
      </c>
      <c r="AZ10" s="271">
        <f t="shared" si="4"/>
        <v>0</v>
      </c>
      <c r="BA10" s="272">
        <f>IF(AZ10="",0,AZ10*'AUX2'!$K$129)</f>
        <v>0</v>
      </c>
      <c r="BB10" s="273">
        <f t="shared" si="5"/>
        <v>0</v>
      </c>
      <c r="BC10" s="274">
        <f>IF(BB10="",0,BB10*'AUX2'!$K$129)</f>
        <v>0</v>
      </c>
      <c r="BD10" s="275"/>
      <c r="BE10" s="276" t="str">
        <f t="shared" si="6"/>
        <v/>
      </c>
      <c r="BF10" s="277" t="str">
        <f>IF(BE10="","",VLOOKUP(T10,'AUX2'!$C$121:$E$125,2,0))</f>
        <v/>
      </c>
      <c r="BG10" s="277" t="str">
        <f t="shared" si="7"/>
        <v/>
      </c>
      <c r="BH10" s="267" t="str">
        <f t="shared" si="8"/>
        <v/>
      </c>
      <c r="BI10" s="278" t="str">
        <f>IF(BE10="","",VLOOKUP(T10,'AUX2'!$C$121:$E$125,3,0))</f>
        <v/>
      </c>
      <c r="BJ10" s="277">
        <f>IF(BE10&lt;=300,'AUX2'!$D$129,IF(AND(BE10&gt;300,BE10&lt;=600),'AUX2'!$D$130,IF(AND(BE10&gt;600,BE10&lt;=900),'AUX2'!$D$131,IF(AND(BE10&gt;900,BE10&lt;=1200),'AUX2'!$D$132,IF(AND(BE10&gt;1200,BE10&lt;=1500),'AUX2'!$D$133,IF(BE10&gt;1500,'AUX2'!$D$134))))))</f>
        <v>0</v>
      </c>
      <c r="BK10" s="277">
        <f t="shared" si="9"/>
        <v>0</v>
      </c>
      <c r="BL10" s="279"/>
      <c r="BM10" s="280" t="str">
        <f t="shared" si="10"/>
        <v/>
      </c>
      <c r="BN10" s="281" t="str">
        <f t="shared" si="11"/>
        <v/>
      </c>
      <c r="BO10" s="269" t="str">
        <f t="shared" si="12"/>
        <v/>
      </c>
      <c r="BP10" s="282" t="str">
        <f>IF(BO10="","",VLOOKUP(AC10,'AUX2'!$C$121:$E$125,2,0))</f>
        <v/>
      </c>
      <c r="BQ10" s="282" t="str">
        <f t="shared" si="13"/>
        <v/>
      </c>
      <c r="BR10" s="269" t="str">
        <f t="shared" si="14"/>
        <v/>
      </c>
      <c r="BS10" s="269" t="str">
        <f t="shared" si="15"/>
        <v/>
      </c>
      <c r="BT10" s="282" t="str">
        <f>IF(BO10="","",VLOOKUP(AC10,'AUX2'!$C$121:$E$125,3,0))</f>
        <v/>
      </c>
      <c r="BU10" s="283">
        <f>IF(BN10&lt;=300,'AUX2'!$D$129,IF(AND(BN10&gt;300,BN10&lt;=600),'AUX2'!$D$130,IF(AND(BN10&gt;600,BN10&lt;=900),'AUX2'!$D$131,IF(AND(BN10&gt;900,BN10&lt;=1200),'AUX2'!$D$132,IF(AND(BN10&gt;1200,BN10&lt;=1500),'AUX2'!$D$133,IF(BN10&gt;1500,'AUX2'!$D$134))))))</f>
        <v>0</v>
      </c>
      <c r="BV10" s="284">
        <f t="shared" si="16"/>
        <v>0</v>
      </c>
      <c r="BW10" s="279"/>
      <c r="BX10" s="285">
        <f t="shared" si="17"/>
        <v>0</v>
      </c>
      <c r="BY10" s="285">
        <f t="shared" si="18"/>
        <v>0</v>
      </c>
      <c r="BZ10" s="285">
        <f>AK10*'AUX2'!$K$137</f>
        <v>0</v>
      </c>
      <c r="CA10" s="285" t="str">
        <f t="shared" si="19"/>
        <v/>
      </c>
      <c r="CB10" s="285" t="str">
        <f>IF(CA10="","",VLOOKUP(AL10,'AUX2'!$C$121:$E$125,2,0))</f>
        <v/>
      </c>
      <c r="CC10" s="285" t="str">
        <f t="shared" si="20"/>
        <v/>
      </c>
      <c r="CD10" s="285" t="str">
        <f t="shared" si="21"/>
        <v/>
      </c>
      <c r="CE10" s="285" t="str">
        <f>IF(CA10="","",VLOOKUP(AL10,'AUX2'!$C$121:$E$125,3,0))</f>
        <v/>
      </c>
      <c r="CF10" s="285">
        <f>IF(CA10&lt;=300,'AUX2'!$D$129,IF(AND(CA10&gt;300,CA10&lt;=600),'AUX2'!$D$130,IF(AND(CA10&gt;600,CA10&lt;=900),'AUX2'!$D$131,IF(AND(CA10&gt;900,CA10&lt;=1200),'AUX2'!$D$132,IF(AND(CA10&gt;1200,CA10&lt;=1500),'AUX2'!$D$133,IF(CA10&gt;1500,'AUX2'!$D$134))))))</f>
        <v>0</v>
      </c>
      <c r="CG10" s="285">
        <f t="shared" si="22"/>
        <v>0</v>
      </c>
      <c r="CI10" s="286">
        <f t="shared" si="23"/>
        <v>0</v>
      </c>
      <c r="CJ10" s="287">
        <f t="shared" si="24"/>
        <v>0</v>
      </c>
      <c r="CK10" s="287">
        <f t="shared" si="25"/>
        <v>0</v>
      </c>
      <c r="CL10" s="287">
        <f t="shared" si="25"/>
        <v>0</v>
      </c>
      <c r="CM10" s="288">
        <f t="shared" si="26"/>
        <v>0</v>
      </c>
      <c r="CN10" s="289">
        <f t="shared" si="27"/>
        <v>0</v>
      </c>
      <c r="CO10" s="290">
        <f t="shared" si="28"/>
        <v>0</v>
      </c>
      <c r="CQ10" s="291" t="str">
        <f t="shared" si="29"/>
        <v/>
      </c>
      <c r="CR10" s="392"/>
    </row>
    <row r="11" spans="2:96" s="264" customFormat="1" ht="15.75" thickBot="1" x14ac:dyDescent="0.3">
      <c r="B11" s="34">
        <v>5</v>
      </c>
      <c r="C11" s="292" t="str">
        <f t="shared" si="1"/>
        <v/>
      </c>
      <c r="D11" s="293"/>
      <c r="E11" s="294"/>
      <c r="F11" s="295"/>
      <c r="G11" s="124"/>
      <c r="H11" s="124"/>
      <c r="I11" s="125"/>
      <c r="J11" s="150"/>
      <c r="K11" s="150"/>
      <c r="L11" s="150"/>
      <c r="M11" s="311"/>
      <c r="N11" s="132"/>
      <c r="O11" s="133"/>
      <c r="P11" s="134"/>
      <c r="Q11" s="133"/>
      <c r="R11" s="312"/>
      <c r="S11" s="313"/>
      <c r="T11" s="124"/>
      <c r="U11" s="314"/>
      <c r="V11" s="150"/>
      <c r="W11" s="314"/>
      <c r="X11" s="150"/>
      <c r="Y11" s="315"/>
      <c r="Z11" s="316"/>
      <c r="AA11" s="314"/>
      <c r="AB11" s="314"/>
      <c r="AC11" s="124"/>
      <c r="AD11" s="81"/>
      <c r="AE11" s="314"/>
      <c r="AF11" s="125"/>
      <c r="AG11" s="125"/>
      <c r="AH11" s="317"/>
      <c r="AI11" s="135"/>
      <c r="AJ11" s="135"/>
      <c r="AK11" s="147"/>
      <c r="AL11" s="124"/>
      <c r="AM11" s="148"/>
      <c r="AN11" s="148"/>
      <c r="AO11" s="318"/>
      <c r="AP11" s="319"/>
      <c r="AR11" s="265" t="str">
        <f>IF(G11="","",VLOOKUP(G11,'AUX2'!$C$62:$G$93,2,0))</f>
        <v/>
      </c>
      <c r="AS11" s="265" t="str">
        <f>IF(G11="","",VLOOKUP(G11,'AUX2'!$C$62:$G$93,3,0))</f>
        <v/>
      </c>
      <c r="AT11" s="265" t="str">
        <f>IF(H11="","",VLOOKUP(H11,'AUX2'!$C$98:$D$102,2,0))</f>
        <v/>
      </c>
      <c r="AU11" s="266"/>
      <c r="AV11" s="267">
        <f t="shared" si="2"/>
        <v>0</v>
      </c>
      <c r="AW11" s="268">
        <f>IF(AV11="",0,AV11*'AUX2'!$K$129)</f>
        <v>0</v>
      </c>
      <c r="AX11" s="269">
        <f t="shared" si="3"/>
        <v>0</v>
      </c>
      <c r="AY11" s="270">
        <f>IF(AX11="",0,AX11*'AUX2'!$K$129)</f>
        <v>0</v>
      </c>
      <c r="AZ11" s="271">
        <f t="shared" si="4"/>
        <v>0</v>
      </c>
      <c r="BA11" s="272">
        <f>IF(AZ11="",0,AZ11*'AUX2'!$K$129)</f>
        <v>0</v>
      </c>
      <c r="BB11" s="273">
        <f t="shared" si="5"/>
        <v>0</v>
      </c>
      <c r="BC11" s="274">
        <f>IF(BB11="",0,BB11*'AUX2'!$K$129)</f>
        <v>0</v>
      </c>
      <c r="BD11" s="275"/>
      <c r="BE11" s="276" t="str">
        <f t="shared" si="6"/>
        <v/>
      </c>
      <c r="BF11" s="277" t="str">
        <f>IF(BE11="","",VLOOKUP(T11,'AUX2'!$C$121:$E$125,2,0))</f>
        <v/>
      </c>
      <c r="BG11" s="277" t="str">
        <f t="shared" si="7"/>
        <v/>
      </c>
      <c r="BH11" s="267" t="str">
        <f t="shared" si="8"/>
        <v/>
      </c>
      <c r="BI11" s="278" t="str">
        <f>IF(BE11="","",VLOOKUP(T11,'AUX2'!$C$121:$E$125,3,0))</f>
        <v/>
      </c>
      <c r="BJ11" s="277">
        <f>IF(BE11&lt;=300,'AUX2'!$D$129,IF(AND(BE11&gt;300,BE11&lt;=600),'AUX2'!$D$130,IF(AND(BE11&gt;600,BE11&lt;=900),'AUX2'!$D$131,IF(AND(BE11&gt;900,BE11&lt;=1200),'AUX2'!$D$132,IF(AND(BE11&gt;1200,BE11&lt;=1500),'AUX2'!$D$133,IF(BE11&gt;1500,'AUX2'!$D$134))))))</f>
        <v>0</v>
      </c>
      <c r="BK11" s="277">
        <f t="shared" si="9"/>
        <v>0</v>
      </c>
      <c r="BL11" s="279"/>
      <c r="BM11" s="280" t="str">
        <f t="shared" si="10"/>
        <v/>
      </c>
      <c r="BN11" s="281" t="str">
        <f t="shared" si="11"/>
        <v/>
      </c>
      <c r="BO11" s="269" t="str">
        <f t="shared" si="12"/>
        <v/>
      </c>
      <c r="BP11" s="282" t="str">
        <f>IF(BO11="","",VLOOKUP(AC11,'AUX2'!$C$121:$E$125,2,0))</f>
        <v/>
      </c>
      <c r="BQ11" s="282" t="str">
        <f t="shared" si="13"/>
        <v/>
      </c>
      <c r="BR11" s="269" t="str">
        <f t="shared" si="14"/>
        <v/>
      </c>
      <c r="BS11" s="269" t="str">
        <f t="shared" si="15"/>
        <v/>
      </c>
      <c r="BT11" s="282" t="str">
        <f>IF(BO11="","",VLOOKUP(AC11,'AUX2'!$C$121:$E$125,3,0))</f>
        <v/>
      </c>
      <c r="BU11" s="283">
        <f>IF(BN11&lt;=300,'AUX2'!$D$129,IF(AND(BN11&gt;300,BN11&lt;=600),'AUX2'!$D$130,IF(AND(BN11&gt;600,BN11&lt;=900),'AUX2'!$D$131,IF(AND(BN11&gt;900,BN11&lt;=1200),'AUX2'!$D$132,IF(AND(BN11&gt;1200,BN11&lt;=1500),'AUX2'!$D$133,IF(BN11&gt;1500,'AUX2'!$D$134))))))</f>
        <v>0</v>
      </c>
      <c r="BV11" s="284">
        <f t="shared" si="16"/>
        <v>0</v>
      </c>
      <c r="BW11" s="279"/>
      <c r="BX11" s="285">
        <f t="shared" si="17"/>
        <v>0</v>
      </c>
      <c r="BY11" s="285">
        <f t="shared" si="18"/>
        <v>0</v>
      </c>
      <c r="BZ11" s="285">
        <f>AK11*'AUX2'!$K$137</f>
        <v>0</v>
      </c>
      <c r="CA11" s="285" t="str">
        <f t="shared" si="19"/>
        <v/>
      </c>
      <c r="CB11" s="285" t="str">
        <f>IF(CA11="","",VLOOKUP(AL11,'AUX2'!$C$121:$E$125,2,0))</f>
        <v/>
      </c>
      <c r="CC11" s="285" t="str">
        <f t="shared" si="20"/>
        <v/>
      </c>
      <c r="CD11" s="285" t="str">
        <f t="shared" si="21"/>
        <v/>
      </c>
      <c r="CE11" s="285" t="str">
        <f>IF(CA11="","",VLOOKUP(AL11,'AUX2'!$C$121:$E$125,3,0))</f>
        <v/>
      </c>
      <c r="CF11" s="285">
        <f>IF(CA11&lt;=300,'AUX2'!$D$129,IF(AND(CA11&gt;300,CA11&lt;=600),'AUX2'!$D$130,IF(AND(CA11&gt;600,CA11&lt;=900),'AUX2'!$D$131,IF(AND(CA11&gt;900,CA11&lt;=1200),'AUX2'!$D$132,IF(AND(CA11&gt;1200,CA11&lt;=1500),'AUX2'!$D$133,IF(CA11&gt;1500,'AUX2'!$D$134))))))</f>
        <v>0</v>
      </c>
      <c r="CG11" s="285">
        <f t="shared" si="22"/>
        <v>0</v>
      </c>
      <c r="CI11" s="286">
        <f t="shared" si="23"/>
        <v>0</v>
      </c>
      <c r="CJ11" s="287">
        <f t="shared" si="24"/>
        <v>0</v>
      </c>
      <c r="CK11" s="287">
        <f t="shared" si="25"/>
        <v>0</v>
      </c>
      <c r="CL11" s="287">
        <f t="shared" si="25"/>
        <v>0</v>
      </c>
      <c r="CM11" s="288">
        <f t="shared" si="26"/>
        <v>0</v>
      </c>
      <c r="CN11" s="289">
        <f t="shared" si="27"/>
        <v>0</v>
      </c>
      <c r="CO11" s="290">
        <f t="shared" si="28"/>
        <v>0</v>
      </c>
      <c r="CQ11" s="291" t="str">
        <f t="shared" si="29"/>
        <v/>
      </c>
      <c r="CR11" s="392"/>
    </row>
    <row r="12" spans="2:96" s="264" customFormat="1" ht="15.75" thickBot="1" x14ac:dyDescent="0.3">
      <c r="B12" s="34">
        <v>6</v>
      </c>
      <c r="C12" s="292" t="str">
        <f t="shared" si="1"/>
        <v/>
      </c>
      <c r="D12" s="293"/>
      <c r="E12" s="294"/>
      <c r="F12" s="295"/>
      <c r="G12" s="124"/>
      <c r="H12" s="124"/>
      <c r="I12" s="125"/>
      <c r="J12" s="150"/>
      <c r="K12" s="150"/>
      <c r="L12" s="150"/>
      <c r="M12" s="311"/>
      <c r="N12" s="132"/>
      <c r="O12" s="133"/>
      <c r="P12" s="134"/>
      <c r="Q12" s="133"/>
      <c r="R12" s="312"/>
      <c r="S12" s="313"/>
      <c r="T12" s="124"/>
      <c r="U12" s="314"/>
      <c r="V12" s="150"/>
      <c r="W12" s="314"/>
      <c r="X12" s="150"/>
      <c r="Y12" s="315"/>
      <c r="Z12" s="316"/>
      <c r="AA12" s="314"/>
      <c r="AB12" s="314"/>
      <c r="AC12" s="124"/>
      <c r="AD12" s="81"/>
      <c r="AE12" s="314"/>
      <c r="AF12" s="125"/>
      <c r="AG12" s="125"/>
      <c r="AH12" s="317"/>
      <c r="AI12" s="135"/>
      <c r="AJ12" s="135"/>
      <c r="AK12" s="147"/>
      <c r="AL12" s="124"/>
      <c r="AM12" s="148"/>
      <c r="AN12" s="148"/>
      <c r="AO12" s="318"/>
      <c r="AP12" s="319"/>
      <c r="AR12" s="265" t="str">
        <f>IF(G12="","",VLOOKUP(G12,'AUX2'!$C$62:$G$93,2,0))</f>
        <v/>
      </c>
      <c r="AS12" s="265" t="str">
        <f>IF(G12="","",VLOOKUP(G12,'AUX2'!$C$62:$G$93,3,0))</f>
        <v/>
      </c>
      <c r="AT12" s="265" t="str">
        <f>IF(H12="","",VLOOKUP(H12,'AUX2'!$C$98:$D$102,2,0))</f>
        <v/>
      </c>
      <c r="AU12" s="266"/>
      <c r="AV12" s="267">
        <f t="shared" si="2"/>
        <v>0</v>
      </c>
      <c r="AW12" s="268">
        <f>IF(AV12="",0,AV12*'AUX2'!$K$129)</f>
        <v>0</v>
      </c>
      <c r="AX12" s="269">
        <f t="shared" si="3"/>
        <v>0</v>
      </c>
      <c r="AY12" s="270">
        <f>IF(AX12="",0,AX12*'AUX2'!$K$129)</f>
        <v>0</v>
      </c>
      <c r="AZ12" s="271">
        <f t="shared" si="4"/>
        <v>0</v>
      </c>
      <c r="BA12" s="272">
        <f>IF(AZ12="",0,AZ12*'AUX2'!$K$129)</f>
        <v>0</v>
      </c>
      <c r="BB12" s="273">
        <f t="shared" si="5"/>
        <v>0</v>
      </c>
      <c r="BC12" s="274">
        <f>IF(BB12="",0,BB12*'AUX2'!$K$129)</f>
        <v>0</v>
      </c>
      <c r="BD12" s="275"/>
      <c r="BE12" s="276" t="str">
        <f t="shared" si="6"/>
        <v/>
      </c>
      <c r="BF12" s="277" t="str">
        <f>IF(BE12="","",VLOOKUP(T12,'AUX2'!$C$121:$E$125,2,0))</f>
        <v/>
      </c>
      <c r="BG12" s="277" t="str">
        <f t="shared" si="7"/>
        <v/>
      </c>
      <c r="BH12" s="267" t="str">
        <f t="shared" si="8"/>
        <v/>
      </c>
      <c r="BI12" s="278" t="str">
        <f>IF(BE12="","",VLOOKUP(T12,'AUX2'!$C$121:$E$125,3,0))</f>
        <v/>
      </c>
      <c r="BJ12" s="277">
        <f>IF(BE12&lt;=300,'AUX2'!$D$129,IF(AND(BE12&gt;300,BE12&lt;=600),'AUX2'!$D$130,IF(AND(BE12&gt;600,BE12&lt;=900),'AUX2'!$D$131,IF(AND(BE12&gt;900,BE12&lt;=1200),'AUX2'!$D$132,IF(AND(BE12&gt;1200,BE12&lt;=1500),'AUX2'!$D$133,IF(BE12&gt;1500,'AUX2'!$D$134))))))</f>
        <v>0</v>
      </c>
      <c r="BK12" s="277">
        <f t="shared" si="9"/>
        <v>0</v>
      </c>
      <c r="BL12" s="279"/>
      <c r="BM12" s="280" t="str">
        <f t="shared" si="10"/>
        <v/>
      </c>
      <c r="BN12" s="281" t="str">
        <f t="shared" si="11"/>
        <v/>
      </c>
      <c r="BO12" s="269" t="str">
        <f t="shared" si="12"/>
        <v/>
      </c>
      <c r="BP12" s="282" t="str">
        <f>IF(BO12="","",VLOOKUP(AC12,'AUX2'!$C$121:$E$125,2,0))</f>
        <v/>
      </c>
      <c r="BQ12" s="282" t="str">
        <f t="shared" si="13"/>
        <v/>
      </c>
      <c r="BR12" s="269" t="str">
        <f t="shared" si="14"/>
        <v/>
      </c>
      <c r="BS12" s="269" t="str">
        <f t="shared" si="15"/>
        <v/>
      </c>
      <c r="BT12" s="282" t="str">
        <f>IF(BO12="","",VLOOKUP(AC12,'AUX2'!$C$121:$E$125,3,0))</f>
        <v/>
      </c>
      <c r="BU12" s="283">
        <f>IF(BN12&lt;=300,'AUX2'!$D$129,IF(AND(BN12&gt;300,BN12&lt;=600),'AUX2'!$D$130,IF(AND(BN12&gt;600,BN12&lt;=900),'AUX2'!$D$131,IF(AND(BN12&gt;900,BN12&lt;=1200),'AUX2'!$D$132,IF(AND(BN12&gt;1200,BN12&lt;=1500),'AUX2'!$D$133,IF(BN12&gt;1500,'AUX2'!$D$134))))))</f>
        <v>0</v>
      </c>
      <c r="BV12" s="284">
        <f t="shared" si="16"/>
        <v>0</v>
      </c>
      <c r="BW12" s="279"/>
      <c r="BX12" s="285">
        <f t="shared" si="17"/>
        <v>0</v>
      </c>
      <c r="BY12" s="285">
        <f t="shared" si="18"/>
        <v>0</v>
      </c>
      <c r="BZ12" s="285">
        <f>AK12*'AUX2'!$K$137</f>
        <v>0</v>
      </c>
      <c r="CA12" s="285" t="str">
        <f t="shared" si="19"/>
        <v/>
      </c>
      <c r="CB12" s="285" t="str">
        <f>IF(CA12="","",VLOOKUP(AL12,'AUX2'!$C$121:$E$125,2,0))</f>
        <v/>
      </c>
      <c r="CC12" s="285" t="str">
        <f t="shared" si="20"/>
        <v/>
      </c>
      <c r="CD12" s="285" t="str">
        <f t="shared" si="21"/>
        <v/>
      </c>
      <c r="CE12" s="285" t="str">
        <f>IF(CA12="","",VLOOKUP(AL12,'AUX2'!$C$121:$E$125,3,0))</f>
        <v/>
      </c>
      <c r="CF12" s="285">
        <f>IF(CA12&lt;=300,'AUX2'!$D$129,IF(AND(CA12&gt;300,CA12&lt;=600),'AUX2'!$D$130,IF(AND(CA12&gt;600,CA12&lt;=900),'AUX2'!$D$131,IF(AND(CA12&gt;900,CA12&lt;=1200),'AUX2'!$D$132,IF(AND(CA12&gt;1200,CA12&lt;=1500),'AUX2'!$D$133,IF(CA12&gt;1500,'AUX2'!$D$134))))))</f>
        <v>0</v>
      </c>
      <c r="CG12" s="285">
        <f t="shared" si="22"/>
        <v>0</v>
      </c>
      <c r="CI12" s="286">
        <f t="shared" si="23"/>
        <v>0</v>
      </c>
      <c r="CJ12" s="287">
        <f t="shared" si="24"/>
        <v>0</v>
      </c>
      <c r="CK12" s="287">
        <f t="shared" si="25"/>
        <v>0</v>
      </c>
      <c r="CL12" s="287">
        <f t="shared" si="25"/>
        <v>0</v>
      </c>
      <c r="CM12" s="288">
        <f t="shared" si="26"/>
        <v>0</v>
      </c>
      <c r="CN12" s="289">
        <f t="shared" si="27"/>
        <v>0</v>
      </c>
      <c r="CO12" s="290">
        <f t="shared" si="28"/>
        <v>0</v>
      </c>
      <c r="CQ12" s="291" t="str">
        <f t="shared" si="29"/>
        <v/>
      </c>
      <c r="CR12" s="392"/>
    </row>
    <row r="13" spans="2:96" s="264" customFormat="1" ht="15.75" thickBot="1" x14ac:dyDescent="0.3">
      <c r="B13" s="34">
        <v>7</v>
      </c>
      <c r="C13" s="292" t="str">
        <f t="shared" si="1"/>
        <v/>
      </c>
      <c r="D13" s="293"/>
      <c r="E13" s="294"/>
      <c r="F13" s="295"/>
      <c r="G13" s="124"/>
      <c r="H13" s="124"/>
      <c r="I13" s="125"/>
      <c r="J13" s="150"/>
      <c r="K13" s="150"/>
      <c r="L13" s="150"/>
      <c r="M13" s="311"/>
      <c r="N13" s="132"/>
      <c r="O13" s="133"/>
      <c r="P13" s="134"/>
      <c r="Q13" s="133"/>
      <c r="R13" s="312"/>
      <c r="S13" s="313"/>
      <c r="T13" s="124"/>
      <c r="U13" s="314"/>
      <c r="V13" s="150"/>
      <c r="W13" s="314"/>
      <c r="X13" s="150"/>
      <c r="Y13" s="315"/>
      <c r="Z13" s="316"/>
      <c r="AA13" s="314"/>
      <c r="AB13" s="314"/>
      <c r="AC13" s="124"/>
      <c r="AD13" s="81"/>
      <c r="AE13" s="314"/>
      <c r="AF13" s="125"/>
      <c r="AG13" s="125"/>
      <c r="AH13" s="317"/>
      <c r="AI13" s="135"/>
      <c r="AJ13" s="135"/>
      <c r="AK13" s="147"/>
      <c r="AL13" s="124"/>
      <c r="AM13" s="148"/>
      <c r="AN13" s="148"/>
      <c r="AO13" s="318"/>
      <c r="AP13" s="319"/>
      <c r="AR13" s="265" t="str">
        <f>IF(G13="","",VLOOKUP(G13,'AUX2'!$C$62:$G$93,2,0))</f>
        <v/>
      </c>
      <c r="AS13" s="265" t="str">
        <f>IF(G13="","",VLOOKUP(G13,'AUX2'!$C$62:$G$93,3,0))</f>
        <v/>
      </c>
      <c r="AT13" s="265" t="str">
        <f>IF(H13="","",VLOOKUP(H13,'AUX2'!$C$98:$D$102,2,0))</f>
        <v/>
      </c>
      <c r="AU13" s="266"/>
      <c r="AV13" s="267">
        <f t="shared" si="2"/>
        <v>0</v>
      </c>
      <c r="AW13" s="268">
        <f>IF(AV13="",0,AV13*'AUX2'!$K$129)</f>
        <v>0</v>
      </c>
      <c r="AX13" s="269">
        <f t="shared" si="3"/>
        <v>0</v>
      </c>
      <c r="AY13" s="270">
        <f>IF(AX13="",0,AX13*'AUX2'!$K$129)</f>
        <v>0</v>
      </c>
      <c r="AZ13" s="271">
        <f t="shared" si="4"/>
        <v>0</v>
      </c>
      <c r="BA13" s="272">
        <f>IF(AZ13="",0,AZ13*'AUX2'!$K$129)</f>
        <v>0</v>
      </c>
      <c r="BB13" s="273">
        <f t="shared" si="5"/>
        <v>0</v>
      </c>
      <c r="BC13" s="274">
        <f>IF(BB13="",0,BB13*'AUX2'!$K$129)</f>
        <v>0</v>
      </c>
      <c r="BD13" s="275"/>
      <c r="BE13" s="276" t="str">
        <f t="shared" si="6"/>
        <v/>
      </c>
      <c r="BF13" s="277" t="str">
        <f>IF(BE13="","",VLOOKUP(T13,'AUX2'!$C$121:$E$125,2,0))</f>
        <v/>
      </c>
      <c r="BG13" s="277" t="str">
        <f t="shared" si="7"/>
        <v/>
      </c>
      <c r="BH13" s="267" t="str">
        <f t="shared" si="8"/>
        <v/>
      </c>
      <c r="BI13" s="278" t="str">
        <f>IF(BE13="","",VLOOKUP(T13,'AUX2'!$C$121:$E$125,3,0))</f>
        <v/>
      </c>
      <c r="BJ13" s="277">
        <f>IF(BE13&lt;=300,'AUX2'!$D$129,IF(AND(BE13&gt;300,BE13&lt;=600),'AUX2'!$D$130,IF(AND(BE13&gt;600,BE13&lt;=900),'AUX2'!$D$131,IF(AND(BE13&gt;900,BE13&lt;=1200),'AUX2'!$D$132,IF(AND(BE13&gt;1200,BE13&lt;=1500),'AUX2'!$D$133,IF(BE13&gt;1500,'AUX2'!$D$134))))))</f>
        <v>0</v>
      </c>
      <c r="BK13" s="277">
        <f t="shared" si="9"/>
        <v>0</v>
      </c>
      <c r="BL13" s="279"/>
      <c r="BM13" s="280" t="str">
        <f t="shared" si="10"/>
        <v/>
      </c>
      <c r="BN13" s="281" t="str">
        <f t="shared" si="11"/>
        <v/>
      </c>
      <c r="BO13" s="269" t="str">
        <f t="shared" si="12"/>
        <v/>
      </c>
      <c r="BP13" s="282" t="str">
        <f>IF(BO13="","",VLOOKUP(AC13,'AUX2'!$C$121:$E$125,2,0))</f>
        <v/>
      </c>
      <c r="BQ13" s="282" t="str">
        <f t="shared" si="13"/>
        <v/>
      </c>
      <c r="BR13" s="269" t="str">
        <f t="shared" si="14"/>
        <v/>
      </c>
      <c r="BS13" s="269" t="str">
        <f t="shared" si="15"/>
        <v/>
      </c>
      <c r="BT13" s="282" t="str">
        <f>IF(BO13="","",VLOOKUP(AC13,'AUX2'!$C$121:$E$125,3,0))</f>
        <v/>
      </c>
      <c r="BU13" s="283">
        <f>IF(BN13&lt;=300,'AUX2'!$D$129,IF(AND(BN13&gt;300,BN13&lt;=600),'AUX2'!$D$130,IF(AND(BN13&gt;600,BN13&lt;=900),'AUX2'!$D$131,IF(AND(BN13&gt;900,BN13&lt;=1200),'AUX2'!$D$132,IF(AND(BN13&gt;1200,BN13&lt;=1500),'AUX2'!$D$133,IF(BN13&gt;1500,'AUX2'!$D$134))))))</f>
        <v>0</v>
      </c>
      <c r="BV13" s="284">
        <f t="shared" si="16"/>
        <v>0</v>
      </c>
      <c r="BW13" s="279"/>
      <c r="BX13" s="285">
        <f t="shared" si="17"/>
        <v>0</v>
      </c>
      <c r="BY13" s="285">
        <f t="shared" si="18"/>
        <v>0</v>
      </c>
      <c r="BZ13" s="285">
        <f>AK13*'AUX2'!$K$137</f>
        <v>0</v>
      </c>
      <c r="CA13" s="285" t="str">
        <f t="shared" si="19"/>
        <v/>
      </c>
      <c r="CB13" s="285" t="str">
        <f>IF(CA13="","",VLOOKUP(AL13,'AUX2'!$C$121:$E$125,2,0))</f>
        <v/>
      </c>
      <c r="CC13" s="285" t="str">
        <f t="shared" si="20"/>
        <v/>
      </c>
      <c r="CD13" s="285" t="str">
        <f t="shared" si="21"/>
        <v/>
      </c>
      <c r="CE13" s="285" t="str">
        <f>IF(CA13="","",VLOOKUP(AL13,'AUX2'!$C$121:$E$125,3,0))</f>
        <v/>
      </c>
      <c r="CF13" s="285">
        <f>IF(CA13&lt;=300,'AUX2'!$D$129,IF(AND(CA13&gt;300,CA13&lt;=600),'AUX2'!$D$130,IF(AND(CA13&gt;600,CA13&lt;=900),'AUX2'!$D$131,IF(AND(CA13&gt;900,CA13&lt;=1200),'AUX2'!$D$132,IF(AND(CA13&gt;1200,CA13&lt;=1500),'AUX2'!$D$133,IF(CA13&gt;1500,'AUX2'!$D$134))))))</f>
        <v>0</v>
      </c>
      <c r="CG13" s="285">
        <f t="shared" si="22"/>
        <v>0</v>
      </c>
      <c r="CI13" s="286">
        <f t="shared" si="23"/>
        <v>0</v>
      </c>
      <c r="CJ13" s="287">
        <f t="shared" si="24"/>
        <v>0</v>
      </c>
      <c r="CK13" s="287">
        <f t="shared" si="25"/>
        <v>0</v>
      </c>
      <c r="CL13" s="287">
        <f t="shared" si="25"/>
        <v>0</v>
      </c>
      <c r="CM13" s="288">
        <f t="shared" si="26"/>
        <v>0</v>
      </c>
      <c r="CN13" s="289">
        <f t="shared" si="27"/>
        <v>0</v>
      </c>
      <c r="CO13" s="290">
        <f t="shared" si="28"/>
        <v>0</v>
      </c>
      <c r="CQ13" s="291" t="str">
        <f t="shared" si="29"/>
        <v/>
      </c>
      <c r="CR13" s="392"/>
    </row>
    <row r="14" spans="2:96" s="264" customFormat="1" ht="15.75" thickBot="1" x14ac:dyDescent="0.3">
      <c r="B14" s="34">
        <v>8</v>
      </c>
      <c r="C14" s="292" t="str">
        <f t="shared" si="1"/>
        <v/>
      </c>
      <c r="D14" s="293"/>
      <c r="E14" s="294"/>
      <c r="F14" s="295"/>
      <c r="G14" s="124"/>
      <c r="H14" s="124"/>
      <c r="I14" s="125"/>
      <c r="J14" s="150"/>
      <c r="K14" s="150"/>
      <c r="L14" s="150"/>
      <c r="M14" s="311"/>
      <c r="N14" s="132"/>
      <c r="O14" s="133"/>
      <c r="P14" s="134"/>
      <c r="Q14" s="133"/>
      <c r="R14" s="312"/>
      <c r="S14" s="313"/>
      <c r="T14" s="124"/>
      <c r="U14" s="314"/>
      <c r="V14" s="150"/>
      <c r="W14" s="314"/>
      <c r="X14" s="150"/>
      <c r="Y14" s="315"/>
      <c r="Z14" s="316"/>
      <c r="AA14" s="314"/>
      <c r="AB14" s="314"/>
      <c r="AC14" s="124"/>
      <c r="AD14" s="81"/>
      <c r="AE14" s="314"/>
      <c r="AF14" s="125"/>
      <c r="AG14" s="125"/>
      <c r="AH14" s="317"/>
      <c r="AI14" s="135"/>
      <c r="AJ14" s="135"/>
      <c r="AK14" s="147"/>
      <c r="AL14" s="124"/>
      <c r="AM14" s="148"/>
      <c r="AN14" s="148"/>
      <c r="AO14" s="318"/>
      <c r="AP14" s="319"/>
      <c r="AR14" s="265" t="str">
        <f>IF(G14="","",VLOOKUP(G14,'AUX2'!$C$62:$G$93,2,0))</f>
        <v/>
      </c>
      <c r="AS14" s="265" t="str">
        <f>IF(G14="","",VLOOKUP(G14,'AUX2'!$C$62:$G$93,3,0))</f>
        <v/>
      </c>
      <c r="AT14" s="265" t="str">
        <f>IF(H14="","",VLOOKUP(H14,'AUX2'!$C$98:$D$102,2,0))</f>
        <v/>
      </c>
      <c r="AU14" s="266"/>
      <c r="AV14" s="267">
        <f t="shared" si="2"/>
        <v>0</v>
      </c>
      <c r="AW14" s="268">
        <f>IF(AV14="",0,AV14*'AUX2'!$K$129)</f>
        <v>0</v>
      </c>
      <c r="AX14" s="269">
        <f t="shared" si="3"/>
        <v>0</v>
      </c>
      <c r="AY14" s="270">
        <f>IF(AX14="",0,AX14*'AUX2'!$K$129)</f>
        <v>0</v>
      </c>
      <c r="AZ14" s="271">
        <f t="shared" si="4"/>
        <v>0</v>
      </c>
      <c r="BA14" s="272">
        <f>IF(AZ14="",0,AZ14*'AUX2'!$K$129)</f>
        <v>0</v>
      </c>
      <c r="BB14" s="273">
        <f t="shared" si="5"/>
        <v>0</v>
      </c>
      <c r="BC14" s="274">
        <f>IF(BB14="",0,BB14*'AUX2'!$K$129)</f>
        <v>0</v>
      </c>
      <c r="BD14" s="275"/>
      <c r="BE14" s="276" t="str">
        <f t="shared" si="6"/>
        <v/>
      </c>
      <c r="BF14" s="277" t="str">
        <f>IF(BE14="","",VLOOKUP(T14,'AUX2'!$C$121:$E$125,2,0))</f>
        <v/>
      </c>
      <c r="BG14" s="277" t="str">
        <f t="shared" si="7"/>
        <v/>
      </c>
      <c r="BH14" s="267" t="str">
        <f t="shared" si="8"/>
        <v/>
      </c>
      <c r="BI14" s="278" t="str">
        <f>IF(BE14="","",VLOOKUP(T14,'AUX2'!$C$121:$E$125,3,0))</f>
        <v/>
      </c>
      <c r="BJ14" s="277">
        <f>IF(BE14&lt;=300,'AUX2'!$D$129,IF(AND(BE14&gt;300,BE14&lt;=600),'AUX2'!$D$130,IF(AND(BE14&gt;600,BE14&lt;=900),'AUX2'!$D$131,IF(AND(BE14&gt;900,BE14&lt;=1200),'AUX2'!$D$132,IF(AND(BE14&gt;1200,BE14&lt;=1500),'AUX2'!$D$133,IF(BE14&gt;1500,'AUX2'!$D$134))))))</f>
        <v>0</v>
      </c>
      <c r="BK14" s="277">
        <f t="shared" si="9"/>
        <v>0</v>
      </c>
      <c r="BL14" s="279"/>
      <c r="BM14" s="280" t="str">
        <f t="shared" si="10"/>
        <v/>
      </c>
      <c r="BN14" s="281" t="str">
        <f t="shared" si="11"/>
        <v/>
      </c>
      <c r="BO14" s="269" t="str">
        <f t="shared" si="12"/>
        <v/>
      </c>
      <c r="BP14" s="282" t="str">
        <f>IF(BO14="","",VLOOKUP(AC14,'AUX2'!$C$121:$E$125,2,0))</f>
        <v/>
      </c>
      <c r="BQ14" s="282" t="str">
        <f t="shared" si="13"/>
        <v/>
      </c>
      <c r="BR14" s="269" t="str">
        <f t="shared" si="14"/>
        <v/>
      </c>
      <c r="BS14" s="269" t="str">
        <f t="shared" si="15"/>
        <v/>
      </c>
      <c r="BT14" s="282" t="str">
        <f>IF(BO14="","",VLOOKUP(AC14,'AUX2'!$C$121:$E$125,3,0))</f>
        <v/>
      </c>
      <c r="BU14" s="283">
        <f>IF(BN14&lt;=300,'AUX2'!$D$129,IF(AND(BN14&gt;300,BN14&lt;=600),'AUX2'!$D$130,IF(AND(BN14&gt;600,BN14&lt;=900),'AUX2'!$D$131,IF(AND(BN14&gt;900,BN14&lt;=1200),'AUX2'!$D$132,IF(AND(BN14&gt;1200,BN14&lt;=1500),'AUX2'!$D$133,IF(BN14&gt;1500,'AUX2'!$D$134))))))</f>
        <v>0</v>
      </c>
      <c r="BV14" s="284">
        <f t="shared" si="16"/>
        <v>0</v>
      </c>
      <c r="BW14" s="279"/>
      <c r="BX14" s="285">
        <f t="shared" si="17"/>
        <v>0</v>
      </c>
      <c r="BY14" s="285">
        <f t="shared" si="18"/>
        <v>0</v>
      </c>
      <c r="BZ14" s="285">
        <f>AK14*'AUX2'!$K$137</f>
        <v>0</v>
      </c>
      <c r="CA14" s="285" t="str">
        <f t="shared" si="19"/>
        <v/>
      </c>
      <c r="CB14" s="285" t="str">
        <f>IF(CA14="","",VLOOKUP(AL14,'AUX2'!$C$121:$E$125,2,0))</f>
        <v/>
      </c>
      <c r="CC14" s="285" t="str">
        <f t="shared" si="20"/>
        <v/>
      </c>
      <c r="CD14" s="285" t="str">
        <f t="shared" si="21"/>
        <v/>
      </c>
      <c r="CE14" s="285" t="str">
        <f>IF(CA14="","",VLOOKUP(AL14,'AUX2'!$C$121:$E$125,3,0))</f>
        <v/>
      </c>
      <c r="CF14" s="285">
        <f>IF(CA14&lt;=300,'AUX2'!$D$129,IF(AND(CA14&gt;300,CA14&lt;=600),'AUX2'!$D$130,IF(AND(CA14&gt;600,CA14&lt;=900),'AUX2'!$D$131,IF(AND(CA14&gt;900,CA14&lt;=1200),'AUX2'!$D$132,IF(AND(CA14&gt;1200,CA14&lt;=1500),'AUX2'!$D$133,IF(CA14&gt;1500,'AUX2'!$D$134))))))</f>
        <v>0</v>
      </c>
      <c r="CG14" s="285">
        <f t="shared" si="22"/>
        <v>0</v>
      </c>
      <c r="CI14" s="286">
        <f t="shared" si="23"/>
        <v>0</v>
      </c>
      <c r="CJ14" s="287">
        <f t="shared" si="24"/>
        <v>0</v>
      </c>
      <c r="CK14" s="287">
        <f t="shared" si="25"/>
        <v>0</v>
      </c>
      <c r="CL14" s="287">
        <f t="shared" si="25"/>
        <v>0</v>
      </c>
      <c r="CM14" s="288">
        <f t="shared" si="26"/>
        <v>0</v>
      </c>
      <c r="CN14" s="289">
        <f t="shared" si="27"/>
        <v>0</v>
      </c>
      <c r="CO14" s="290">
        <f t="shared" si="28"/>
        <v>0</v>
      </c>
      <c r="CQ14" s="291" t="str">
        <f t="shared" si="29"/>
        <v/>
      </c>
      <c r="CR14" s="392"/>
    </row>
    <row r="15" spans="2:96" s="264" customFormat="1" ht="15.75" thickBot="1" x14ac:dyDescent="0.3">
      <c r="B15" s="34">
        <v>9</v>
      </c>
      <c r="C15" s="292" t="str">
        <f t="shared" si="1"/>
        <v/>
      </c>
      <c r="D15" s="293"/>
      <c r="E15" s="294"/>
      <c r="F15" s="295"/>
      <c r="G15" s="124"/>
      <c r="H15" s="124"/>
      <c r="I15" s="125"/>
      <c r="J15" s="150"/>
      <c r="K15" s="150"/>
      <c r="L15" s="150"/>
      <c r="M15" s="311"/>
      <c r="N15" s="132"/>
      <c r="O15" s="133"/>
      <c r="P15" s="134"/>
      <c r="Q15" s="133"/>
      <c r="R15" s="312"/>
      <c r="S15" s="313"/>
      <c r="T15" s="124"/>
      <c r="U15" s="314"/>
      <c r="V15" s="150"/>
      <c r="W15" s="314"/>
      <c r="X15" s="150"/>
      <c r="Y15" s="315"/>
      <c r="Z15" s="316"/>
      <c r="AA15" s="314"/>
      <c r="AB15" s="314"/>
      <c r="AC15" s="124"/>
      <c r="AD15" s="81"/>
      <c r="AE15" s="314"/>
      <c r="AF15" s="125"/>
      <c r="AG15" s="125"/>
      <c r="AH15" s="317"/>
      <c r="AI15" s="135"/>
      <c r="AJ15" s="135"/>
      <c r="AK15" s="147"/>
      <c r="AL15" s="124"/>
      <c r="AM15" s="148"/>
      <c r="AN15" s="148"/>
      <c r="AO15" s="318"/>
      <c r="AP15" s="319"/>
      <c r="AR15" s="265" t="str">
        <f>IF(G15="","",VLOOKUP(G15,'AUX2'!$C$62:$G$93,2,0))</f>
        <v/>
      </c>
      <c r="AS15" s="265" t="str">
        <f>IF(G15="","",VLOOKUP(G15,'AUX2'!$C$62:$G$93,3,0))</f>
        <v/>
      </c>
      <c r="AT15" s="265" t="str">
        <f>IF(H15="","",VLOOKUP(H15,'AUX2'!$C$98:$D$102,2,0))</f>
        <v/>
      </c>
      <c r="AU15" s="266"/>
      <c r="AV15" s="267">
        <f t="shared" si="2"/>
        <v>0</v>
      </c>
      <c r="AW15" s="268">
        <f>IF(AV15="",0,AV15*'AUX2'!$K$129)</f>
        <v>0</v>
      </c>
      <c r="AX15" s="269">
        <f t="shared" si="3"/>
        <v>0</v>
      </c>
      <c r="AY15" s="270">
        <f>IF(AX15="",0,AX15*'AUX2'!$K$129)</f>
        <v>0</v>
      </c>
      <c r="AZ15" s="271">
        <f t="shared" si="4"/>
        <v>0</v>
      </c>
      <c r="BA15" s="272">
        <f>IF(AZ15="",0,AZ15*'AUX2'!$K$129)</f>
        <v>0</v>
      </c>
      <c r="BB15" s="273">
        <f t="shared" si="5"/>
        <v>0</v>
      </c>
      <c r="BC15" s="274">
        <f>IF(BB15="",0,BB15*'AUX2'!$K$129)</f>
        <v>0</v>
      </c>
      <c r="BD15" s="275"/>
      <c r="BE15" s="276" t="str">
        <f t="shared" si="6"/>
        <v/>
      </c>
      <c r="BF15" s="277" t="str">
        <f>IF(BE15="","",VLOOKUP(T15,'AUX2'!$C$121:$E$125,2,0))</f>
        <v/>
      </c>
      <c r="BG15" s="277" t="str">
        <f t="shared" si="7"/>
        <v/>
      </c>
      <c r="BH15" s="267" t="str">
        <f t="shared" si="8"/>
        <v/>
      </c>
      <c r="BI15" s="278" t="str">
        <f>IF(BE15="","",VLOOKUP(T15,'AUX2'!$C$121:$E$125,3,0))</f>
        <v/>
      </c>
      <c r="BJ15" s="277">
        <f>IF(BE15&lt;=300,'AUX2'!$D$129,IF(AND(BE15&gt;300,BE15&lt;=600),'AUX2'!$D$130,IF(AND(BE15&gt;600,BE15&lt;=900),'AUX2'!$D$131,IF(AND(BE15&gt;900,BE15&lt;=1200),'AUX2'!$D$132,IF(AND(BE15&gt;1200,BE15&lt;=1500),'AUX2'!$D$133,IF(BE15&gt;1500,'AUX2'!$D$134))))))</f>
        <v>0</v>
      </c>
      <c r="BK15" s="277">
        <f t="shared" si="9"/>
        <v>0</v>
      </c>
      <c r="BL15" s="279"/>
      <c r="BM15" s="280" t="str">
        <f t="shared" si="10"/>
        <v/>
      </c>
      <c r="BN15" s="281" t="str">
        <f t="shared" si="11"/>
        <v/>
      </c>
      <c r="BO15" s="269" t="str">
        <f t="shared" si="12"/>
        <v/>
      </c>
      <c r="BP15" s="282" t="str">
        <f>IF(BO15="","",VLOOKUP(AC15,'AUX2'!$C$121:$E$125,2,0))</f>
        <v/>
      </c>
      <c r="BQ15" s="282" t="str">
        <f t="shared" si="13"/>
        <v/>
      </c>
      <c r="BR15" s="269" t="str">
        <f t="shared" si="14"/>
        <v/>
      </c>
      <c r="BS15" s="269" t="str">
        <f t="shared" si="15"/>
        <v/>
      </c>
      <c r="BT15" s="282" t="str">
        <f>IF(BO15="","",VLOOKUP(AC15,'AUX2'!$C$121:$E$125,3,0))</f>
        <v/>
      </c>
      <c r="BU15" s="283">
        <f>IF(BN15&lt;=300,'AUX2'!$D$129,IF(AND(BN15&gt;300,BN15&lt;=600),'AUX2'!$D$130,IF(AND(BN15&gt;600,BN15&lt;=900),'AUX2'!$D$131,IF(AND(BN15&gt;900,BN15&lt;=1200),'AUX2'!$D$132,IF(AND(BN15&gt;1200,BN15&lt;=1500),'AUX2'!$D$133,IF(BN15&gt;1500,'AUX2'!$D$134))))))</f>
        <v>0</v>
      </c>
      <c r="BV15" s="284">
        <f t="shared" si="16"/>
        <v>0</v>
      </c>
      <c r="BW15" s="279"/>
      <c r="BX15" s="285">
        <f t="shared" si="17"/>
        <v>0</v>
      </c>
      <c r="BY15" s="285">
        <f t="shared" si="18"/>
        <v>0</v>
      </c>
      <c r="BZ15" s="285">
        <f>AK15*'AUX2'!$K$137</f>
        <v>0</v>
      </c>
      <c r="CA15" s="285" t="str">
        <f t="shared" si="19"/>
        <v/>
      </c>
      <c r="CB15" s="285" t="str">
        <f>IF(CA15="","",VLOOKUP(AL15,'AUX2'!$C$121:$E$125,2,0))</f>
        <v/>
      </c>
      <c r="CC15" s="285" t="str">
        <f t="shared" si="20"/>
        <v/>
      </c>
      <c r="CD15" s="285" t="str">
        <f t="shared" si="21"/>
        <v/>
      </c>
      <c r="CE15" s="285" t="str">
        <f>IF(CA15="","",VLOOKUP(AL15,'AUX2'!$C$121:$E$125,3,0))</f>
        <v/>
      </c>
      <c r="CF15" s="285">
        <f>IF(CA15&lt;=300,'AUX2'!$D$129,IF(AND(CA15&gt;300,CA15&lt;=600),'AUX2'!$D$130,IF(AND(CA15&gt;600,CA15&lt;=900),'AUX2'!$D$131,IF(AND(CA15&gt;900,CA15&lt;=1200),'AUX2'!$D$132,IF(AND(CA15&gt;1200,CA15&lt;=1500),'AUX2'!$D$133,IF(CA15&gt;1500,'AUX2'!$D$134))))))</f>
        <v>0</v>
      </c>
      <c r="CG15" s="285">
        <f t="shared" si="22"/>
        <v>0</v>
      </c>
      <c r="CI15" s="286">
        <f t="shared" si="23"/>
        <v>0</v>
      </c>
      <c r="CJ15" s="287">
        <f t="shared" si="24"/>
        <v>0</v>
      </c>
      <c r="CK15" s="287">
        <f t="shared" si="25"/>
        <v>0</v>
      </c>
      <c r="CL15" s="287">
        <f t="shared" si="25"/>
        <v>0</v>
      </c>
      <c r="CM15" s="288">
        <f t="shared" si="26"/>
        <v>0</v>
      </c>
      <c r="CN15" s="289">
        <f t="shared" si="27"/>
        <v>0</v>
      </c>
      <c r="CO15" s="290">
        <f t="shared" si="28"/>
        <v>0</v>
      </c>
      <c r="CQ15" s="291" t="str">
        <f t="shared" si="29"/>
        <v/>
      </c>
      <c r="CR15" s="392"/>
    </row>
    <row r="16" spans="2:96" s="264" customFormat="1" ht="15.75" thickBot="1" x14ac:dyDescent="0.3">
      <c r="B16" s="34">
        <v>10</v>
      </c>
      <c r="C16" s="292" t="str">
        <f t="shared" si="1"/>
        <v/>
      </c>
      <c r="D16" s="293"/>
      <c r="E16" s="294"/>
      <c r="F16" s="295"/>
      <c r="G16" s="124"/>
      <c r="H16" s="124"/>
      <c r="I16" s="125"/>
      <c r="J16" s="150"/>
      <c r="K16" s="150"/>
      <c r="L16" s="150"/>
      <c r="M16" s="311"/>
      <c r="N16" s="132"/>
      <c r="O16" s="133"/>
      <c r="P16" s="134"/>
      <c r="Q16" s="133"/>
      <c r="R16" s="312"/>
      <c r="S16" s="313"/>
      <c r="T16" s="124"/>
      <c r="U16" s="314"/>
      <c r="V16" s="150"/>
      <c r="W16" s="314"/>
      <c r="X16" s="150"/>
      <c r="Y16" s="315"/>
      <c r="Z16" s="316"/>
      <c r="AA16" s="314"/>
      <c r="AB16" s="314"/>
      <c r="AC16" s="124"/>
      <c r="AD16" s="81"/>
      <c r="AE16" s="314"/>
      <c r="AF16" s="125"/>
      <c r="AG16" s="125"/>
      <c r="AH16" s="317"/>
      <c r="AI16" s="135"/>
      <c r="AJ16" s="135"/>
      <c r="AK16" s="147"/>
      <c r="AL16" s="124"/>
      <c r="AM16" s="148"/>
      <c r="AN16" s="148"/>
      <c r="AO16" s="318"/>
      <c r="AP16" s="319"/>
      <c r="AR16" s="265" t="str">
        <f>IF(G16="","",VLOOKUP(G16,'AUX2'!$C$62:$G$93,2,0))</f>
        <v/>
      </c>
      <c r="AS16" s="265" t="str">
        <f>IF(G16="","",VLOOKUP(G16,'AUX2'!$C$62:$G$93,3,0))</f>
        <v/>
      </c>
      <c r="AT16" s="265" t="str">
        <f>IF(H16="","",VLOOKUP(H16,'AUX2'!$C$98:$D$102,2,0))</f>
        <v/>
      </c>
      <c r="AU16" s="266"/>
      <c r="AV16" s="267">
        <f t="shared" si="2"/>
        <v>0</v>
      </c>
      <c r="AW16" s="268">
        <f>IF(AV16="",0,AV16*'AUX2'!$K$129)</f>
        <v>0</v>
      </c>
      <c r="AX16" s="269">
        <f t="shared" si="3"/>
        <v>0</v>
      </c>
      <c r="AY16" s="270">
        <f>IF(AX16="",0,AX16*'AUX2'!$K$129)</f>
        <v>0</v>
      </c>
      <c r="AZ16" s="271">
        <f t="shared" si="4"/>
        <v>0</v>
      </c>
      <c r="BA16" s="272">
        <f>IF(AZ16="",0,AZ16*'AUX2'!$K$129)</f>
        <v>0</v>
      </c>
      <c r="BB16" s="273">
        <f t="shared" si="5"/>
        <v>0</v>
      </c>
      <c r="BC16" s="274">
        <f>IF(BB16="",0,BB16*'AUX2'!$K$129)</f>
        <v>0</v>
      </c>
      <c r="BD16" s="275"/>
      <c r="BE16" s="276" t="str">
        <f t="shared" si="6"/>
        <v/>
      </c>
      <c r="BF16" s="277" t="str">
        <f>IF(BE16="","",VLOOKUP(T16,'AUX2'!$C$121:$E$125,2,0))</f>
        <v/>
      </c>
      <c r="BG16" s="277" t="str">
        <f t="shared" si="7"/>
        <v/>
      </c>
      <c r="BH16" s="267" t="str">
        <f t="shared" si="8"/>
        <v/>
      </c>
      <c r="BI16" s="278" t="str">
        <f>IF(BE16="","",VLOOKUP(T16,'AUX2'!$C$121:$E$125,3,0))</f>
        <v/>
      </c>
      <c r="BJ16" s="277">
        <f>IF(BE16&lt;=300,'AUX2'!$D$129,IF(AND(BE16&gt;300,BE16&lt;=600),'AUX2'!$D$130,IF(AND(BE16&gt;600,BE16&lt;=900),'AUX2'!$D$131,IF(AND(BE16&gt;900,BE16&lt;=1200),'AUX2'!$D$132,IF(AND(BE16&gt;1200,BE16&lt;=1500),'AUX2'!$D$133,IF(BE16&gt;1500,'AUX2'!$D$134))))))</f>
        <v>0</v>
      </c>
      <c r="BK16" s="277">
        <f t="shared" si="9"/>
        <v>0</v>
      </c>
      <c r="BL16" s="279"/>
      <c r="BM16" s="280" t="str">
        <f t="shared" si="10"/>
        <v/>
      </c>
      <c r="BN16" s="281" t="str">
        <f t="shared" si="11"/>
        <v/>
      </c>
      <c r="BO16" s="269" t="str">
        <f t="shared" si="12"/>
        <v/>
      </c>
      <c r="BP16" s="282" t="str">
        <f>IF(BO16="","",VLOOKUP(AC16,'AUX2'!$C$121:$E$125,2,0))</f>
        <v/>
      </c>
      <c r="BQ16" s="282" t="str">
        <f t="shared" si="13"/>
        <v/>
      </c>
      <c r="BR16" s="269" t="str">
        <f t="shared" si="14"/>
        <v/>
      </c>
      <c r="BS16" s="269" t="str">
        <f t="shared" si="15"/>
        <v/>
      </c>
      <c r="BT16" s="282" t="str">
        <f>IF(BO16="","",VLOOKUP(AC16,'AUX2'!$C$121:$E$125,3,0))</f>
        <v/>
      </c>
      <c r="BU16" s="283">
        <f>IF(BN16&lt;=300,'AUX2'!$D$129,IF(AND(BN16&gt;300,BN16&lt;=600),'AUX2'!$D$130,IF(AND(BN16&gt;600,BN16&lt;=900),'AUX2'!$D$131,IF(AND(BN16&gt;900,BN16&lt;=1200),'AUX2'!$D$132,IF(AND(BN16&gt;1200,BN16&lt;=1500),'AUX2'!$D$133,IF(BN16&gt;1500,'AUX2'!$D$134))))))</f>
        <v>0</v>
      </c>
      <c r="BV16" s="284">
        <f t="shared" si="16"/>
        <v>0</v>
      </c>
      <c r="BW16" s="279"/>
      <c r="BX16" s="285">
        <f t="shared" si="17"/>
        <v>0</v>
      </c>
      <c r="BY16" s="285">
        <f t="shared" si="18"/>
        <v>0</v>
      </c>
      <c r="BZ16" s="285">
        <f>AK16*'AUX2'!$K$137</f>
        <v>0</v>
      </c>
      <c r="CA16" s="285" t="str">
        <f t="shared" si="19"/>
        <v/>
      </c>
      <c r="CB16" s="285" t="str">
        <f>IF(CA16="","",VLOOKUP(AL16,'AUX2'!$C$121:$E$125,2,0))</f>
        <v/>
      </c>
      <c r="CC16" s="285" t="str">
        <f t="shared" si="20"/>
        <v/>
      </c>
      <c r="CD16" s="285" t="str">
        <f t="shared" si="21"/>
        <v/>
      </c>
      <c r="CE16" s="285" t="str">
        <f>IF(CA16="","",VLOOKUP(AL16,'AUX2'!$C$121:$E$125,3,0))</f>
        <v/>
      </c>
      <c r="CF16" s="285">
        <f>IF(CA16&lt;=300,'AUX2'!$D$129,IF(AND(CA16&gt;300,CA16&lt;=600),'AUX2'!$D$130,IF(AND(CA16&gt;600,CA16&lt;=900),'AUX2'!$D$131,IF(AND(CA16&gt;900,CA16&lt;=1200),'AUX2'!$D$132,IF(AND(CA16&gt;1200,CA16&lt;=1500),'AUX2'!$D$133,IF(CA16&gt;1500,'AUX2'!$D$134))))))</f>
        <v>0</v>
      </c>
      <c r="CG16" s="285">
        <f t="shared" si="22"/>
        <v>0</v>
      </c>
      <c r="CI16" s="286">
        <f t="shared" si="23"/>
        <v>0</v>
      </c>
      <c r="CJ16" s="287">
        <f t="shared" si="24"/>
        <v>0</v>
      </c>
      <c r="CK16" s="287">
        <f t="shared" si="25"/>
        <v>0</v>
      </c>
      <c r="CL16" s="287">
        <f t="shared" si="25"/>
        <v>0</v>
      </c>
      <c r="CM16" s="288">
        <f t="shared" si="26"/>
        <v>0</v>
      </c>
      <c r="CN16" s="289">
        <f t="shared" si="27"/>
        <v>0</v>
      </c>
      <c r="CO16" s="290">
        <f t="shared" si="28"/>
        <v>0</v>
      </c>
      <c r="CQ16" s="291" t="str">
        <f t="shared" si="29"/>
        <v/>
      </c>
      <c r="CR16" s="392"/>
    </row>
    <row r="17" spans="2:96" s="264" customFormat="1" ht="15.75" thickBot="1" x14ac:dyDescent="0.3">
      <c r="B17" s="34">
        <v>11</v>
      </c>
      <c r="C17" s="292" t="str">
        <f t="shared" si="1"/>
        <v/>
      </c>
      <c r="D17" s="293"/>
      <c r="E17" s="294"/>
      <c r="F17" s="295"/>
      <c r="G17" s="124"/>
      <c r="H17" s="124"/>
      <c r="I17" s="125"/>
      <c r="J17" s="150"/>
      <c r="K17" s="150"/>
      <c r="L17" s="150"/>
      <c r="M17" s="311"/>
      <c r="N17" s="132"/>
      <c r="O17" s="133"/>
      <c r="P17" s="134"/>
      <c r="Q17" s="133"/>
      <c r="R17" s="312"/>
      <c r="S17" s="313"/>
      <c r="T17" s="124"/>
      <c r="U17" s="314"/>
      <c r="V17" s="150"/>
      <c r="W17" s="314"/>
      <c r="X17" s="150"/>
      <c r="Y17" s="315"/>
      <c r="Z17" s="316"/>
      <c r="AA17" s="314"/>
      <c r="AB17" s="314"/>
      <c r="AC17" s="124"/>
      <c r="AD17" s="81"/>
      <c r="AE17" s="314"/>
      <c r="AF17" s="125"/>
      <c r="AG17" s="125"/>
      <c r="AH17" s="317"/>
      <c r="AI17" s="135"/>
      <c r="AJ17" s="135"/>
      <c r="AK17" s="147"/>
      <c r="AL17" s="124"/>
      <c r="AM17" s="148"/>
      <c r="AN17" s="148"/>
      <c r="AO17" s="318"/>
      <c r="AP17" s="319"/>
      <c r="AR17" s="265" t="str">
        <f>IF(G17="","",VLOOKUP(G17,'AUX2'!$C$62:$G$93,2,0))</f>
        <v/>
      </c>
      <c r="AS17" s="265" t="str">
        <f>IF(G17="","",VLOOKUP(G17,'AUX2'!$C$62:$G$93,3,0))</f>
        <v/>
      </c>
      <c r="AT17" s="265" t="str">
        <f>IF(H17="","",VLOOKUP(H17,'AUX2'!$C$98:$D$102,2,0))</f>
        <v/>
      </c>
      <c r="AU17" s="266"/>
      <c r="AV17" s="267">
        <f t="shared" si="2"/>
        <v>0</v>
      </c>
      <c r="AW17" s="268">
        <f>IF(AV17="",0,AV17*'AUX2'!$K$129)</f>
        <v>0</v>
      </c>
      <c r="AX17" s="269">
        <f t="shared" si="3"/>
        <v>0</v>
      </c>
      <c r="AY17" s="270">
        <f>IF(AX17="",0,AX17*'AUX2'!$K$129)</f>
        <v>0</v>
      </c>
      <c r="AZ17" s="271">
        <f t="shared" si="4"/>
        <v>0</v>
      </c>
      <c r="BA17" s="272">
        <f>IF(AZ17="",0,AZ17*'AUX2'!$K$129)</f>
        <v>0</v>
      </c>
      <c r="BB17" s="273">
        <f t="shared" si="5"/>
        <v>0</v>
      </c>
      <c r="BC17" s="274">
        <f>IF(BB17="",0,BB17*'AUX2'!$K$129)</f>
        <v>0</v>
      </c>
      <c r="BD17" s="275"/>
      <c r="BE17" s="276" t="str">
        <f t="shared" si="6"/>
        <v/>
      </c>
      <c r="BF17" s="277" t="str">
        <f>IF(BE17="","",VLOOKUP(T17,'AUX2'!$C$121:$E$125,2,0))</f>
        <v/>
      </c>
      <c r="BG17" s="277" t="str">
        <f t="shared" si="7"/>
        <v/>
      </c>
      <c r="BH17" s="267" t="str">
        <f t="shared" si="8"/>
        <v/>
      </c>
      <c r="BI17" s="278" t="str">
        <f>IF(BE17="","",VLOOKUP(T17,'AUX2'!$C$121:$E$125,3,0))</f>
        <v/>
      </c>
      <c r="BJ17" s="277">
        <f>IF(BE17&lt;=300,'AUX2'!$D$129,IF(AND(BE17&gt;300,BE17&lt;=600),'AUX2'!$D$130,IF(AND(BE17&gt;600,BE17&lt;=900),'AUX2'!$D$131,IF(AND(BE17&gt;900,BE17&lt;=1200),'AUX2'!$D$132,IF(AND(BE17&gt;1200,BE17&lt;=1500),'AUX2'!$D$133,IF(BE17&gt;1500,'AUX2'!$D$134))))))</f>
        <v>0</v>
      </c>
      <c r="BK17" s="277">
        <f t="shared" si="9"/>
        <v>0</v>
      </c>
      <c r="BL17" s="279"/>
      <c r="BM17" s="280" t="str">
        <f t="shared" si="10"/>
        <v/>
      </c>
      <c r="BN17" s="281" t="str">
        <f t="shared" si="11"/>
        <v/>
      </c>
      <c r="BO17" s="269" t="str">
        <f t="shared" si="12"/>
        <v/>
      </c>
      <c r="BP17" s="282" t="str">
        <f>IF(BO17="","",VLOOKUP(AC17,'AUX2'!$C$121:$E$125,2,0))</f>
        <v/>
      </c>
      <c r="BQ17" s="282" t="str">
        <f t="shared" si="13"/>
        <v/>
      </c>
      <c r="BR17" s="269" t="str">
        <f t="shared" si="14"/>
        <v/>
      </c>
      <c r="BS17" s="269" t="str">
        <f t="shared" si="15"/>
        <v/>
      </c>
      <c r="BT17" s="282" t="str">
        <f>IF(BO17="","",VLOOKUP(AC17,'AUX2'!$C$121:$E$125,3,0))</f>
        <v/>
      </c>
      <c r="BU17" s="283">
        <f>IF(BN17&lt;=300,'AUX2'!$D$129,IF(AND(BN17&gt;300,BN17&lt;=600),'AUX2'!$D$130,IF(AND(BN17&gt;600,BN17&lt;=900),'AUX2'!$D$131,IF(AND(BN17&gt;900,BN17&lt;=1200),'AUX2'!$D$132,IF(AND(BN17&gt;1200,BN17&lt;=1500),'AUX2'!$D$133,IF(BN17&gt;1500,'AUX2'!$D$134))))))</f>
        <v>0</v>
      </c>
      <c r="BV17" s="284">
        <f t="shared" si="16"/>
        <v>0</v>
      </c>
      <c r="BW17" s="279"/>
      <c r="BX17" s="285">
        <f t="shared" si="17"/>
        <v>0</v>
      </c>
      <c r="BY17" s="285">
        <f t="shared" si="18"/>
        <v>0</v>
      </c>
      <c r="BZ17" s="285">
        <f>AK17*'AUX2'!$K$137</f>
        <v>0</v>
      </c>
      <c r="CA17" s="285" t="str">
        <f t="shared" si="19"/>
        <v/>
      </c>
      <c r="CB17" s="285" t="str">
        <f>IF(CA17="","",VLOOKUP(AL17,'AUX2'!$C$121:$E$125,2,0))</f>
        <v/>
      </c>
      <c r="CC17" s="285" t="str">
        <f t="shared" si="20"/>
        <v/>
      </c>
      <c r="CD17" s="285" t="str">
        <f t="shared" si="21"/>
        <v/>
      </c>
      <c r="CE17" s="285" t="str">
        <f>IF(CA17="","",VLOOKUP(AL17,'AUX2'!$C$121:$E$125,3,0))</f>
        <v/>
      </c>
      <c r="CF17" s="285">
        <f>IF(CA17&lt;=300,'AUX2'!$D$129,IF(AND(CA17&gt;300,CA17&lt;=600),'AUX2'!$D$130,IF(AND(CA17&gt;600,CA17&lt;=900),'AUX2'!$D$131,IF(AND(CA17&gt;900,CA17&lt;=1200),'AUX2'!$D$132,IF(AND(CA17&gt;1200,CA17&lt;=1500),'AUX2'!$D$133,IF(CA17&gt;1500,'AUX2'!$D$134))))))</f>
        <v>0</v>
      </c>
      <c r="CG17" s="285">
        <f t="shared" si="22"/>
        <v>0</v>
      </c>
      <c r="CI17" s="286">
        <f t="shared" si="23"/>
        <v>0</v>
      </c>
      <c r="CJ17" s="287">
        <f t="shared" si="24"/>
        <v>0</v>
      </c>
      <c r="CK17" s="287">
        <f t="shared" si="25"/>
        <v>0</v>
      </c>
      <c r="CL17" s="287">
        <f t="shared" si="25"/>
        <v>0</v>
      </c>
      <c r="CM17" s="288">
        <f t="shared" si="26"/>
        <v>0</v>
      </c>
      <c r="CN17" s="289">
        <f t="shared" si="27"/>
        <v>0</v>
      </c>
      <c r="CO17" s="290">
        <f t="shared" si="28"/>
        <v>0</v>
      </c>
      <c r="CQ17" s="291" t="str">
        <f t="shared" si="29"/>
        <v/>
      </c>
      <c r="CR17" s="392"/>
    </row>
    <row r="18" spans="2:96" s="264" customFormat="1" ht="15.75" thickBot="1" x14ac:dyDescent="0.3">
      <c r="B18" s="34">
        <v>12</v>
      </c>
      <c r="C18" s="292" t="str">
        <f t="shared" si="1"/>
        <v/>
      </c>
      <c r="D18" s="293"/>
      <c r="E18" s="294"/>
      <c r="F18" s="295"/>
      <c r="G18" s="124"/>
      <c r="H18" s="124"/>
      <c r="I18" s="125"/>
      <c r="J18" s="150"/>
      <c r="K18" s="150"/>
      <c r="L18" s="150"/>
      <c r="M18" s="311"/>
      <c r="N18" s="132"/>
      <c r="O18" s="133"/>
      <c r="P18" s="134"/>
      <c r="Q18" s="133"/>
      <c r="R18" s="312"/>
      <c r="S18" s="313"/>
      <c r="T18" s="124"/>
      <c r="U18" s="314"/>
      <c r="V18" s="150"/>
      <c r="W18" s="314"/>
      <c r="X18" s="150"/>
      <c r="Y18" s="315"/>
      <c r="Z18" s="316"/>
      <c r="AA18" s="314"/>
      <c r="AB18" s="314"/>
      <c r="AC18" s="124"/>
      <c r="AD18" s="81"/>
      <c r="AE18" s="314"/>
      <c r="AF18" s="125"/>
      <c r="AG18" s="125"/>
      <c r="AH18" s="317"/>
      <c r="AI18" s="135"/>
      <c r="AJ18" s="135"/>
      <c r="AK18" s="147"/>
      <c r="AL18" s="124"/>
      <c r="AM18" s="148"/>
      <c r="AN18" s="148"/>
      <c r="AO18" s="318"/>
      <c r="AP18" s="319"/>
      <c r="AR18" s="265" t="str">
        <f>IF(G18="","",VLOOKUP(G18,'AUX2'!$C$62:$G$93,2,0))</f>
        <v/>
      </c>
      <c r="AS18" s="265" t="str">
        <f>IF(G18="","",VLOOKUP(G18,'AUX2'!$C$62:$G$93,3,0))</f>
        <v/>
      </c>
      <c r="AT18" s="265" t="str">
        <f>IF(H18="","",VLOOKUP(H18,'AUX2'!$C$98:$D$102,2,0))</f>
        <v/>
      </c>
      <c r="AU18" s="266"/>
      <c r="AV18" s="267">
        <f t="shared" si="2"/>
        <v>0</v>
      </c>
      <c r="AW18" s="268">
        <f>IF(AV18="",0,AV18*'AUX2'!$K$129)</f>
        <v>0</v>
      </c>
      <c r="AX18" s="269">
        <f t="shared" si="3"/>
        <v>0</v>
      </c>
      <c r="AY18" s="270">
        <f>IF(AX18="",0,AX18*'AUX2'!$K$129)</f>
        <v>0</v>
      </c>
      <c r="AZ18" s="271">
        <f t="shared" si="4"/>
        <v>0</v>
      </c>
      <c r="BA18" s="272">
        <f>IF(AZ18="",0,AZ18*'AUX2'!$K$129)</f>
        <v>0</v>
      </c>
      <c r="BB18" s="273">
        <f t="shared" si="5"/>
        <v>0</v>
      </c>
      <c r="BC18" s="274">
        <f>IF(BB18="",0,BB18*'AUX2'!$K$129)</f>
        <v>0</v>
      </c>
      <c r="BD18" s="275"/>
      <c r="BE18" s="276" t="str">
        <f t="shared" si="6"/>
        <v/>
      </c>
      <c r="BF18" s="277" t="str">
        <f>IF(BE18="","",VLOOKUP(T18,'AUX2'!$C$121:$E$125,2,0))</f>
        <v/>
      </c>
      <c r="BG18" s="277" t="str">
        <f t="shared" si="7"/>
        <v/>
      </c>
      <c r="BH18" s="267" t="str">
        <f t="shared" si="8"/>
        <v/>
      </c>
      <c r="BI18" s="278" t="str">
        <f>IF(BE18="","",VLOOKUP(T18,'AUX2'!$C$121:$E$125,3,0))</f>
        <v/>
      </c>
      <c r="BJ18" s="277">
        <f>IF(BE18&lt;=300,'AUX2'!$D$129,IF(AND(BE18&gt;300,BE18&lt;=600),'AUX2'!$D$130,IF(AND(BE18&gt;600,BE18&lt;=900),'AUX2'!$D$131,IF(AND(BE18&gt;900,BE18&lt;=1200),'AUX2'!$D$132,IF(AND(BE18&gt;1200,BE18&lt;=1500),'AUX2'!$D$133,IF(BE18&gt;1500,'AUX2'!$D$134))))))</f>
        <v>0</v>
      </c>
      <c r="BK18" s="277">
        <f t="shared" si="9"/>
        <v>0</v>
      </c>
      <c r="BL18" s="279"/>
      <c r="BM18" s="280" t="str">
        <f t="shared" si="10"/>
        <v/>
      </c>
      <c r="BN18" s="281" t="str">
        <f t="shared" si="11"/>
        <v/>
      </c>
      <c r="BO18" s="269" t="str">
        <f t="shared" si="12"/>
        <v/>
      </c>
      <c r="BP18" s="282" t="str">
        <f>IF(BO18="","",VLOOKUP(AC18,'AUX2'!$C$121:$E$125,2,0))</f>
        <v/>
      </c>
      <c r="BQ18" s="282" t="str">
        <f t="shared" si="13"/>
        <v/>
      </c>
      <c r="BR18" s="269" t="str">
        <f t="shared" si="14"/>
        <v/>
      </c>
      <c r="BS18" s="269" t="str">
        <f t="shared" si="15"/>
        <v/>
      </c>
      <c r="BT18" s="282" t="str">
        <f>IF(BO18="","",VLOOKUP(AC18,'AUX2'!$C$121:$E$125,3,0))</f>
        <v/>
      </c>
      <c r="BU18" s="283">
        <f>IF(BN18&lt;=300,'AUX2'!$D$129,IF(AND(BN18&gt;300,BN18&lt;=600),'AUX2'!$D$130,IF(AND(BN18&gt;600,BN18&lt;=900),'AUX2'!$D$131,IF(AND(BN18&gt;900,BN18&lt;=1200),'AUX2'!$D$132,IF(AND(BN18&gt;1200,BN18&lt;=1500),'AUX2'!$D$133,IF(BN18&gt;1500,'AUX2'!$D$134))))))</f>
        <v>0</v>
      </c>
      <c r="BV18" s="284">
        <f t="shared" si="16"/>
        <v>0</v>
      </c>
      <c r="BW18" s="279"/>
      <c r="BX18" s="285">
        <f t="shared" si="17"/>
        <v>0</v>
      </c>
      <c r="BY18" s="285">
        <f t="shared" si="18"/>
        <v>0</v>
      </c>
      <c r="BZ18" s="285">
        <f>AK18*'AUX2'!$K$137</f>
        <v>0</v>
      </c>
      <c r="CA18" s="285" t="str">
        <f t="shared" si="19"/>
        <v/>
      </c>
      <c r="CB18" s="285" t="str">
        <f>IF(CA18="","",VLOOKUP(AL18,'AUX2'!$C$121:$E$125,2,0))</f>
        <v/>
      </c>
      <c r="CC18" s="285" t="str">
        <f t="shared" si="20"/>
        <v/>
      </c>
      <c r="CD18" s="285" t="str">
        <f t="shared" si="21"/>
        <v/>
      </c>
      <c r="CE18" s="285" t="str">
        <f>IF(CA18="","",VLOOKUP(AL18,'AUX2'!$C$121:$E$125,3,0))</f>
        <v/>
      </c>
      <c r="CF18" s="285">
        <f>IF(CA18&lt;=300,'AUX2'!$D$129,IF(AND(CA18&gt;300,CA18&lt;=600),'AUX2'!$D$130,IF(AND(CA18&gt;600,CA18&lt;=900),'AUX2'!$D$131,IF(AND(CA18&gt;900,CA18&lt;=1200),'AUX2'!$D$132,IF(AND(CA18&gt;1200,CA18&lt;=1500),'AUX2'!$D$133,IF(CA18&gt;1500,'AUX2'!$D$134))))))</f>
        <v>0</v>
      </c>
      <c r="CG18" s="285">
        <f t="shared" si="22"/>
        <v>0</v>
      </c>
      <c r="CI18" s="286">
        <f t="shared" si="23"/>
        <v>0</v>
      </c>
      <c r="CJ18" s="287">
        <f t="shared" si="24"/>
        <v>0</v>
      </c>
      <c r="CK18" s="287">
        <f t="shared" si="25"/>
        <v>0</v>
      </c>
      <c r="CL18" s="287">
        <f t="shared" si="25"/>
        <v>0</v>
      </c>
      <c r="CM18" s="288">
        <f t="shared" si="26"/>
        <v>0</v>
      </c>
      <c r="CN18" s="289">
        <f t="shared" si="27"/>
        <v>0</v>
      </c>
      <c r="CO18" s="290">
        <f t="shared" si="28"/>
        <v>0</v>
      </c>
      <c r="CQ18" s="291" t="str">
        <f t="shared" si="29"/>
        <v/>
      </c>
      <c r="CR18" s="392"/>
    </row>
    <row r="19" spans="2:96" s="264" customFormat="1" ht="15.75" thickBot="1" x14ac:dyDescent="0.3">
      <c r="B19" s="34">
        <v>13</v>
      </c>
      <c r="C19" s="292" t="str">
        <f t="shared" si="1"/>
        <v/>
      </c>
      <c r="D19" s="293"/>
      <c r="E19" s="294"/>
      <c r="F19" s="295"/>
      <c r="G19" s="124"/>
      <c r="H19" s="124"/>
      <c r="I19" s="125"/>
      <c r="J19" s="150"/>
      <c r="K19" s="150"/>
      <c r="L19" s="150"/>
      <c r="M19" s="311"/>
      <c r="N19" s="132"/>
      <c r="O19" s="133"/>
      <c r="P19" s="134"/>
      <c r="Q19" s="133"/>
      <c r="R19" s="312"/>
      <c r="S19" s="313"/>
      <c r="T19" s="124"/>
      <c r="U19" s="314"/>
      <c r="V19" s="150"/>
      <c r="W19" s="314"/>
      <c r="X19" s="150"/>
      <c r="Y19" s="315"/>
      <c r="Z19" s="316"/>
      <c r="AA19" s="314"/>
      <c r="AB19" s="314"/>
      <c r="AC19" s="124"/>
      <c r="AD19" s="81"/>
      <c r="AE19" s="314"/>
      <c r="AF19" s="125"/>
      <c r="AG19" s="125"/>
      <c r="AH19" s="317"/>
      <c r="AI19" s="135"/>
      <c r="AJ19" s="135"/>
      <c r="AK19" s="147"/>
      <c r="AL19" s="124"/>
      <c r="AM19" s="148"/>
      <c r="AN19" s="148"/>
      <c r="AO19" s="318"/>
      <c r="AP19" s="319"/>
      <c r="AR19" s="265" t="str">
        <f>IF(G19="","",VLOOKUP(G19,'AUX2'!$C$62:$G$93,2,0))</f>
        <v/>
      </c>
      <c r="AS19" s="265" t="str">
        <f>IF(G19="","",VLOOKUP(G19,'AUX2'!$C$62:$G$93,3,0))</f>
        <v/>
      </c>
      <c r="AT19" s="265" t="str">
        <f>IF(H19="","",VLOOKUP(H19,'AUX2'!$C$98:$D$102,2,0))</f>
        <v/>
      </c>
      <c r="AU19" s="266"/>
      <c r="AV19" s="267">
        <f t="shared" si="2"/>
        <v>0</v>
      </c>
      <c r="AW19" s="268">
        <f>IF(AV19="",0,AV19*'AUX2'!$K$129)</f>
        <v>0</v>
      </c>
      <c r="AX19" s="269">
        <f t="shared" si="3"/>
        <v>0</v>
      </c>
      <c r="AY19" s="270">
        <f>IF(AX19="",0,AX19*'AUX2'!$K$129)</f>
        <v>0</v>
      </c>
      <c r="AZ19" s="271">
        <f t="shared" si="4"/>
        <v>0</v>
      </c>
      <c r="BA19" s="272">
        <f>IF(AZ19="",0,AZ19*'AUX2'!$K$129)</f>
        <v>0</v>
      </c>
      <c r="BB19" s="273">
        <f t="shared" si="5"/>
        <v>0</v>
      </c>
      <c r="BC19" s="274">
        <f>IF(BB19="",0,BB19*'AUX2'!$K$129)</f>
        <v>0</v>
      </c>
      <c r="BD19" s="275"/>
      <c r="BE19" s="276" t="str">
        <f t="shared" si="6"/>
        <v/>
      </c>
      <c r="BF19" s="277" t="str">
        <f>IF(BE19="","",VLOOKUP(T19,'AUX2'!$C$121:$E$125,2,0))</f>
        <v/>
      </c>
      <c r="BG19" s="277" t="str">
        <f t="shared" si="7"/>
        <v/>
      </c>
      <c r="BH19" s="267" t="str">
        <f t="shared" si="8"/>
        <v/>
      </c>
      <c r="BI19" s="278" t="str">
        <f>IF(BE19="","",VLOOKUP(T19,'AUX2'!$C$121:$E$125,3,0))</f>
        <v/>
      </c>
      <c r="BJ19" s="277">
        <f>IF(BE19&lt;=300,'AUX2'!$D$129,IF(AND(BE19&gt;300,BE19&lt;=600),'AUX2'!$D$130,IF(AND(BE19&gt;600,BE19&lt;=900),'AUX2'!$D$131,IF(AND(BE19&gt;900,BE19&lt;=1200),'AUX2'!$D$132,IF(AND(BE19&gt;1200,BE19&lt;=1500),'AUX2'!$D$133,IF(BE19&gt;1500,'AUX2'!$D$134))))))</f>
        <v>0</v>
      </c>
      <c r="BK19" s="277">
        <f t="shared" si="9"/>
        <v>0</v>
      </c>
      <c r="BL19" s="279"/>
      <c r="BM19" s="280" t="str">
        <f t="shared" si="10"/>
        <v/>
      </c>
      <c r="BN19" s="281" t="str">
        <f t="shared" si="11"/>
        <v/>
      </c>
      <c r="BO19" s="269" t="str">
        <f t="shared" si="12"/>
        <v/>
      </c>
      <c r="BP19" s="282" t="str">
        <f>IF(BO19="","",VLOOKUP(AC19,'AUX2'!$C$121:$E$125,2,0))</f>
        <v/>
      </c>
      <c r="BQ19" s="282" t="str">
        <f t="shared" si="13"/>
        <v/>
      </c>
      <c r="BR19" s="269" t="str">
        <f t="shared" si="14"/>
        <v/>
      </c>
      <c r="BS19" s="269" t="str">
        <f t="shared" si="15"/>
        <v/>
      </c>
      <c r="BT19" s="282" t="str">
        <f>IF(BO19="","",VLOOKUP(AC19,'AUX2'!$C$121:$E$125,3,0))</f>
        <v/>
      </c>
      <c r="BU19" s="283">
        <f>IF(BN19&lt;=300,'AUX2'!$D$129,IF(AND(BN19&gt;300,BN19&lt;=600),'AUX2'!$D$130,IF(AND(BN19&gt;600,BN19&lt;=900),'AUX2'!$D$131,IF(AND(BN19&gt;900,BN19&lt;=1200),'AUX2'!$D$132,IF(AND(BN19&gt;1200,BN19&lt;=1500),'AUX2'!$D$133,IF(BN19&gt;1500,'AUX2'!$D$134))))))</f>
        <v>0</v>
      </c>
      <c r="BV19" s="284">
        <f t="shared" si="16"/>
        <v>0</v>
      </c>
      <c r="BW19" s="279"/>
      <c r="BX19" s="285">
        <f t="shared" si="17"/>
        <v>0</v>
      </c>
      <c r="BY19" s="285">
        <f t="shared" si="18"/>
        <v>0</v>
      </c>
      <c r="BZ19" s="285">
        <f>AK19*'AUX2'!$K$137</f>
        <v>0</v>
      </c>
      <c r="CA19" s="285" t="str">
        <f t="shared" si="19"/>
        <v/>
      </c>
      <c r="CB19" s="285" t="str">
        <f>IF(CA19="","",VLOOKUP(AL19,'AUX2'!$C$121:$E$125,2,0))</f>
        <v/>
      </c>
      <c r="CC19" s="285" t="str">
        <f t="shared" si="20"/>
        <v/>
      </c>
      <c r="CD19" s="285" t="str">
        <f t="shared" si="21"/>
        <v/>
      </c>
      <c r="CE19" s="285" t="str">
        <f>IF(CA19="","",VLOOKUP(AL19,'AUX2'!$C$121:$E$125,3,0))</f>
        <v/>
      </c>
      <c r="CF19" s="285">
        <f>IF(CA19&lt;=300,'AUX2'!$D$129,IF(AND(CA19&gt;300,CA19&lt;=600),'AUX2'!$D$130,IF(AND(CA19&gt;600,CA19&lt;=900),'AUX2'!$D$131,IF(AND(CA19&gt;900,CA19&lt;=1200),'AUX2'!$D$132,IF(AND(CA19&gt;1200,CA19&lt;=1500),'AUX2'!$D$133,IF(CA19&gt;1500,'AUX2'!$D$134))))))</f>
        <v>0</v>
      </c>
      <c r="CG19" s="285">
        <f t="shared" si="22"/>
        <v>0</v>
      </c>
      <c r="CI19" s="286">
        <f t="shared" si="23"/>
        <v>0</v>
      </c>
      <c r="CJ19" s="287">
        <f t="shared" si="24"/>
        <v>0</v>
      </c>
      <c r="CK19" s="287">
        <f t="shared" si="25"/>
        <v>0</v>
      </c>
      <c r="CL19" s="287">
        <f t="shared" si="25"/>
        <v>0</v>
      </c>
      <c r="CM19" s="288">
        <f t="shared" si="26"/>
        <v>0</v>
      </c>
      <c r="CN19" s="289">
        <f t="shared" si="27"/>
        <v>0</v>
      </c>
      <c r="CO19" s="290">
        <f t="shared" si="28"/>
        <v>0</v>
      </c>
      <c r="CQ19" s="291" t="str">
        <f t="shared" si="29"/>
        <v/>
      </c>
      <c r="CR19" s="392"/>
    </row>
    <row r="20" spans="2:96" s="264" customFormat="1" ht="15.75" thickBot="1" x14ac:dyDescent="0.3">
      <c r="B20" s="34">
        <v>14</v>
      </c>
      <c r="C20" s="292" t="str">
        <f t="shared" si="1"/>
        <v/>
      </c>
      <c r="D20" s="293"/>
      <c r="E20" s="294"/>
      <c r="F20" s="295"/>
      <c r="G20" s="124"/>
      <c r="H20" s="124"/>
      <c r="I20" s="125"/>
      <c r="J20" s="150"/>
      <c r="K20" s="150"/>
      <c r="L20" s="150"/>
      <c r="M20" s="311"/>
      <c r="N20" s="132"/>
      <c r="O20" s="133"/>
      <c r="P20" s="134"/>
      <c r="Q20" s="133"/>
      <c r="R20" s="312"/>
      <c r="S20" s="313"/>
      <c r="T20" s="124"/>
      <c r="U20" s="314"/>
      <c r="V20" s="150"/>
      <c r="W20" s="314"/>
      <c r="X20" s="150"/>
      <c r="Y20" s="315"/>
      <c r="Z20" s="316"/>
      <c r="AA20" s="314"/>
      <c r="AB20" s="314"/>
      <c r="AC20" s="124"/>
      <c r="AD20" s="81"/>
      <c r="AE20" s="314"/>
      <c r="AF20" s="125"/>
      <c r="AG20" s="125"/>
      <c r="AH20" s="317"/>
      <c r="AI20" s="135"/>
      <c r="AJ20" s="135"/>
      <c r="AK20" s="147"/>
      <c r="AL20" s="124"/>
      <c r="AM20" s="148"/>
      <c r="AN20" s="148"/>
      <c r="AO20" s="318"/>
      <c r="AP20" s="319"/>
      <c r="AR20" s="265" t="str">
        <f>IF(G20="","",VLOOKUP(G20,'AUX2'!$C$62:$G$93,2,0))</f>
        <v/>
      </c>
      <c r="AS20" s="265" t="str">
        <f>IF(G20="","",VLOOKUP(G20,'AUX2'!$C$62:$G$93,3,0))</f>
        <v/>
      </c>
      <c r="AT20" s="265" t="str">
        <f>IF(H20="","",VLOOKUP(H20,'AUX2'!$C$98:$D$102,2,0))</f>
        <v/>
      </c>
      <c r="AU20" s="266"/>
      <c r="AV20" s="267">
        <f t="shared" si="2"/>
        <v>0</v>
      </c>
      <c r="AW20" s="268">
        <f>IF(AV20="",0,AV20*'AUX2'!$K$129)</f>
        <v>0</v>
      </c>
      <c r="AX20" s="269">
        <f t="shared" si="3"/>
        <v>0</v>
      </c>
      <c r="AY20" s="270">
        <f>IF(AX20="",0,AX20*'AUX2'!$K$129)</f>
        <v>0</v>
      </c>
      <c r="AZ20" s="271">
        <f t="shared" si="4"/>
        <v>0</v>
      </c>
      <c r="BA20" s="272">
        <f>IF(AZ20="",0,AZ20*'AUX2'!$K$129)</f>
        <v>0</v>
      </c>
      <c r="BB20" s="273">
        <f t="shared" si="5"/>
        <v>0</v>
      </c>
      <c r="BC20" s="274">
        <f>IF(BB20="",0,BB20*'AUX2'!$K$129)</f>
        <v>0</v>
      </c>
      <c r="BD20" s="275"/>
      <c r="BE20" s="276" t="str">
        <f t="shared" si="6"/>
        <v/>
      </c>
      <c r="BF20" s="277" t="str">
        <f>IF(BE20="","",VLOOKUP(T20,'AUX2'!$C$121:$E$125,2,0))</f>
        <v/>
      </c>
      <c r="BG20" s="277" t="str">
        <f t="shared" si="7"/>
        <v/>
      </c>
      <c r="BH20" s="267" t="str">
        <f t="shared" si="8"/>
        <v/>
      </c>
      <c r="BI20" s="278" t="str">
        <f>IF(BE20="","",VLOOKUP(T20,'AUX2'!$C$121:$E$125,3,0))</f>
        <v/>
      </c>
      <c r="BJ20" s="277">
        <f>IF(BE20&lt;=300,'AUX2'!$D$129,IF(AND(BE20&gt;300,BE20&lt;=600),'AUX2'!$D$130,IF(AND(BE20&gt;600,BE20&lt;=900),'AUX2'!$D$131,IF(AND(BE20&gt;900,BE20&lt;=1200),'AUX2'!$D$132,IF(AND(BE20&gt;1200,BE20&lt;=1500),'AUX2'!$D$133,IF(BE20&gt;1500,'AUX2'!$D$134))))))</f>
        <v>0</v>
      </c>
      <c r="BK20" s="277">
        <f t="shared" si="9"/>
        <v>0</v>
      </c>
      <c r="BL20" s="279"/>
      <c r="BM20" s="280" t="str">
        <f t="shared" si="10"/>
        <v/>
      </c>
      <c r="BN20" s="281" t="str">
        <f t="shared" si="11"/>
        <v/>
      </c>
      <c r="BO20" s="269" t="str">
        <f t="shared" si="12"/>
        <v/>
      </c>
      <c r="BP20" s="282" t="str">
        <f>IF(BO20="","",VLOOKUP(AC20,'AUX2'!$C$121:$E$125,2,0))</f>
        <v/>
      </c>
      <c r="BQ20" s="282" t="str">
        <f t="shared" si="13"/>
        <v/>
      </c>
      <c r="BR20" s="269" t="str">
        <f t="shared" si="14"/>
        <v/>
      </c>
      <c r="BS20" s="269" t="str">
        <f t="shared" si="15"/>
        <v/>
      </c>
      <c r="BT20" s="282" t="str">
        <f>IF(BO20="","",VLOOKUP(AC20,'AUX2'!$C$121:$E$125,3,0))</f>
        <v/>
      </c>
      <c r="BU20" s="283">
        <f>IF(BN20&lt;=300,'AUX2'!$D$129,IF(AND(BN20&gt;300,BN20&lt;=600),'AUX2'!$D$130,IF(AND(BN20&gt;600,BN20&lt;=900),'AUX2'!$D$131,IF(AND(BN20&gt;900,BN20&lt;=1200),'AUX2'!$D$132,IF(AND(BN20&gt;1200,BN20&lt;=1500),'AUX2'!$D$133,IF(BN20&gt;1500,'AUX2'!$D$134))))))</f>
        <v>0</v>
      </c>
      <c r="BV20" s="284">
        <f t="shared" si="16"/>
        <v>0</v>
      </c>
      <c r="BW20" s="279"/>
      <c r="BX20" s="285">
        <f t="shared" si="17"/>
        <v>0</v>
      </c>
      <c r="BY20" s="285">
        <f t="shared" si="18"/>
        <v>0</v>
      </c>
      <c r="BZ20" s="285">
        <f>AK20*'AUX2'!$K$137</f>
        <v>0</v>
      </c>
      <c r="CA20" s="285" t="str">
        <f t="shared" si="19"/>
        <v/>
      </c>
      <c r="CB20" s="285" t="str">
        <f>IF(CA20="","",VLOOKUP(AL20,'AUX2'!$C$121:$E$125,2,0))</f>
        <v/>
      </c>
      <c r="CC20" s="285" t="str">
        <f t="shared" si="20"/>
        <v/>
      </c>
      <c r="CD20" s="285" t="str">
        <f t="shared" si="21"/>
        <v/>
      </c>
      <c r="CE20" s="285" t="str">
        <f>IF(CA20="","",VLOOKUP(AL20,'AUX2'!$C$121:$E$125,3,0))</f>
        <v/>
      </c>
      <c r="CF20" s="285">
        <f>IF(CA20&lt;=300,'AUX2'!$D$129,IF(AND(CA20&gt;300,CA20&lt;=600),'AUX2'!$D$130,IF(AND(CA20&gt;600,CA20&lt;=900),'AUX2'!$D$131,IF(AND(CA20&gt;900,CA20&lt;=1200),'AUX2'!$D$132,IF(AND(CA20&gt;1200,CA20&lt;=1500),'AUX2'!$D$133,IF(CA20&gt;1500,'AUX2'!$D$134))))))</f>
        <v>0</v>
      </c>
      <c r="CG20" s="285">
        <f t="shared" si="22"/>
        <v>0</v>
      </c>
      <c r="CI20" s="286">
        <f t="shared" si="23"/>
        <v>0</v>
      </c>
      <c r="CJ20" s="287">
        <f t="shared" si="24"/>
        <v>0</v>
      </c>
      <c r="CK20" s="287">
        <f t="shared" si="25"/>
        <v>0</v>
      </c>
      <c r="CL20" s="287">
        <f t="shared" si="25"/>
        <v>0</v>
      </c>
      <c r="CM20" s="288">
        <f t="shared" si="26"/>
        <v>0</v>
      </c>
      <c r="CN20" s="289">
        <f t="shared" si="27"/>
        <v>0</v>
      </c>
      <c r="CO20" s="290">
        <f t="shared" si="28"/>
        <v>0</v>
      </c>
      <c r="CQ20" s="291" t="str">
        <f t="shared" si="29"/>
        <v/>
      </c>
      <c r="CR20" s="392"/>
    </row>
    <row r="21" spans="2:96" s="264" customFormat="1" ht="15.75" thickBot="1" x14ac:dyDescent="0.3">
      <c r="B21" s="34">
        <v>15</v>
      </c>
      <c r="C21" s="292" t="str">
        <f t="shared" si="1"/>
        <v/>
      </c>
      <c r="D21" s="293"/>
      <c r="E21" s="294"/>
      <c r="F21" s="295"/>
      <c r="G21" s="124"/>
      <c r="H21" s="124"/>
      <c r="I21" s="125"/>
      <c r="J21" s="150"/>
      <c r="K21" s="150"/>
      <c r="L21" s="150"/>
      <c r="M21" s="311"/>
      <c r="N21" s="132"/>
      <c r="O21" s="133"/>
      <c r="P21" s="134"/>
      <c r="Q21" s="133"/>
      <c r="R21" s="312"/>
      <c r="S21" s="313"/>
      <c r="T21" s="124"/>
      <c r="U21" s="314"/>
      <c r="V21" s="150"/>
      <c r="W21" s="314"/>
      <c r="X21" s="150"/>
      <c r="Y21" s="315"/>
      <c r="Z21" s="316"/>
      <c r="AA21" s="314"/>
      <c r="AB21" s="314"/>
      <c r="AC21" s="124"/>
      <c r="AD21" s="81"/>
      <c r="AE21" s="314"/>
      <c r="AF21" s="125"/>
      <c r="AG21" s="125"/>
      <c r="AH21" s="317"/>
      <c r="AI21" s="135"/>
      <c r="AJ21" s="135"/>
      <c r="AK21" s="147"/>
      <c r="AL21" s="124"/>
      <c r="AM21" s="148"/>
      <c r="AN21" s="148"/>
      <c r="AO21" s="318"/>
      <c r="AP21" s="319"/>
      <c r="AR21" s="265" t="str">
        <f>IF(G21="","",VLOOKUP(G21,'AUX2'!$C$62:$G$93,2,0))</f>
        <v/>
      </c>
      <c r="AS21" s="265" t="str">
        <f>IF(G21="","",VLOOKUP(G21,'AUX2'!$C$62:$G$93,3,0))</f>
        <v/>
      </c>
      <c r="AT21" s="265" t="str">
        <f>IF(H21="","",VLOOKUP(H21,'AUX2'!$C$98:$D$102,2,0))</f>
        <v/>
      </c>
      <c r="AU21" s="266"/>
      <c r="AV21" s="267">
        <f t="shared" si="2"/>
        <v>0</v>
      </c>
      <c r="AW21" s="268">
        <f>IF(AV21="",0,AV21*'AUX2'!$K$129)</f>
        <v>0</v>
      </c>
      <c r="AX21" s="269">
        <f t="shared" si="3"/>
        <v>0</v>
      </c>
      <c r="AY21" s="270">
        <f>IF(AX21="",0,AX21*'AUX2'!$K$129)</f>
        <v>0</v>
      </c>
      <c r="AZ21" s="271">
        <f t="shared" si="4"/>
        <v>0</v>
      </c>
      <c r="BA21" s="272">
        <f>IF(AZ21="",0,AZ21*'AUX2'!$K$129)</f>
        <v>0</v>
      </c>
      <c r="BB21" s="273">
        <f t="shared" si="5"/>
        <v>0</v>
      </c>
      <c r="BC21" s="274">
        <f>IF(BB21="",0,BB21*'AUX2'!$K$129)</f>
        <v>0</v>
      </c>
      <c r="BD21" s="275"/>
      <c r="BE21" s="276" t="str">
        <f t="shared" si="6"/>
        <v/>
      </c>
      <c r="BF21" s="277" t="str">
        <f>IF(BE21="","",VLOOKUP(T21,'AUX2'!$C$121:$E$125,2,0))</f>
        <v/>
      </c>
      <c r="BG21" s="277" t="str">
        <f t="shared" si="7"/>
        <v/>
      </c>
      <c r="BH21" s="267" t="str">
        <f t="shared" si="8"/>
        <v/>
      </c>
      <c r="BI21" s="278" t="str">
        <f>IF(BE21="","",VLOOKUP(T21,'AUX2'!$C$121:$E$125,3,0))</f>
        <v/>
      </c>
      <c r="BJ21" s="277">
        <f>IF(BE21&lt;=300,'AUX2'!$D$129,IF(AND(BE21&gt;300,BE21&lt;=600),'AUX2'!$D$130,IF(AND(BE21&gt;600,BE21&lt;=900),'AUX2'!$D$131,IF(AND(BE21&gt;900,BE21&lt;=1200),'AUX2'!$D$132,IF(AND(BE21&gt;1200,BE21&lt;=1500),'AUX2'!$D$133,IF(BE21&gt;1500,'AUX2'!$D$134))))))</f>
        <v>0</v>
      </c>
      <c r="BK21" s="277">
        <f t="shared" si="9"/>
        <v>0</v>
      </c>
      <c r="BL21" s="279"/>
      <c r="BM21" s="280" t="str">
        <f t="shared" si="10"/>
        <v/>
      </c>
      <c r="BN21" s="281" t="str">
        <f t="shared" si="11"/>
        <v/>
      </c>
      <c r="BO21" s="269" t="str">
        <f t="shared" si="12"/>
        <v/>
      </c>
      <c r="BP21" s="282" t="str">
        <f>IF(BO21="","",VLOOKUP(AC21,'AUX2'!$C$121:$E$125,2,0))</f>
        <v/>
      </c>
      <c r="BQ21" s="282" t="str">
        <f t="shared" si="13"/>
        <v/>
      </c>
      <c r="BR21" s="269" t="str">
        <f t="shared" si="14"/>
        <v/>
      </c>
      <c r="BS21" s="269" t="str">
        <f t="shared" si="15"/>
        <v/>
      </c>
      <c r="BT21" s="282" t="str">
        <f>IF(BO21="","",VLOOKUP(AC21,'AUX2'!$C$121:$E$125,3,0))</f>
        <v/>
      </c>
      <c r="BU21" s="283">
        <f>IF(BN21&lt;=300,'AUX2'!$D$129,IF(AND(BN21&gt;300,BN21&lt;=600),'AUX2'!$D$130,IF(AND(BN21&gt;600,BN21&lt;=900),'AUX2'!$D$131,IF(AND(BN21&gt;900,BN21&lt;=1200),'AUX2'!$D$132,IF(AND(BN21&gt;1200,BN21&lt;=1500),'AUX2'!$D$133,IF(BN21&gt;1500,'AUX2'!$D$134))))))</f>
        <v>0</v>
      </c>
      <c r="BV21" s="284">
        <f t="shared" si="16"/>
        <v>0</v>
      </c>
      <c r="BW21" s="279"/>
      <c r="BX21" s="285">
        <f t="shared" si="17"/>
        <v>0</v>
      </c>
      <c r="BY21" s="285">
        <f t="shared" si="18"/>
        <v>0</v>
      </c>
      <c r="BZ21" s="285">
        <f>AK21*'AUX2'!$K$137</f>
        <v>0</v>
      </c>
      <c r="CA21" s="285" t="str">
        <f t="shared" si="19"/>
        <v/>
      </c>
      <c r="CB21" s="285" t="str">
        <f>IF(CA21="","",VLOOKUP(AL21,'AUX2'!$C$121:$E$125,2,0))</f>
        <v/>
      </c>
      <c r="CC21" s="285" t="str">
        <f t="shared" si="20"/>
        <v/>
      </c>
      <c r="CD21" s="285" t="str">
        <f t="shared" si="21"/>
        <v/>
      </c>
      <c r="CE21" s="285" t="str">
        <f>IF(CA21="","",VLOOKUP(AL21,'AUX2'!$C$121:$E$125,3,0))</f>
        <v/>
      </c>
      <c r="CF21" s="285">
        <f>IF(CA21&lt;=300,'AUX2'!$D$129,IF(AND(CA21&gt;300,CA21&lt;=600),'AUX2'!$D$130,IF(AND(CA21&gt;600,CA21&lt;=900),'AUX2'!$D$131,IF(AND(CA21&gt;900,CA21&lt;=1200),'AUX2'!$D$132,IF(AND(CA21&gt;1200,CA21&lt;=1500),'AUX2'!$D$133,IF(CA21&gt;1500,'AUX2'!$D$134))))))</f>
        <v>0</v>
      </c>
      <c r="CG21" s="285">
        <f t="shared" si="22"/>
        <v>0</v>
      </c>
      <c r="CI21" s="286">
        <f t="shared" si="23"/>
        <v>0</v>
      </c>
      <c r="CJ21" s="287">
        <f t="shared" si="24"/>
        <v>0</v>
      </c>
      <c r="CK21" s="287">
        <f t="shared" si="25"/>
        <v>0</v>
      </c>
      <c r="CL21" s="287">
        <f t="shared" si="25"/>
        <v>0</v>
      </c>
      <c r="CM21" s="288">
        <f t="shared" si="26"/>
        <v>0</v>
      </c>
      <c r="CN21" s="289">
        <f t="shared" si="27"/>
        <v>0</v>
      </c>
      <c r="CO21" s="290">
        <f t="shared" si="28"/>
        <v>0</v>
      </c>
      <c r="CQ21" s="291" t="str">
        <f t="shared" si="29"/>
        <v/>
      </c>
      <c r="CR21" s="392"/>
    </row>
    <row r="22" spans="2:96" s="264" customFormat="1" ht="15.75" thickBot="1" x14ac:dyDescent="0.3">
      <c r="B22" s="34">
        <v>16</v>
      </c>
      <c r="C22" s="292" t="str">
        <f t="shared" si="1"/>
        <v/>
      </c>
      <c r="D22" s="293"/>
      <c r="E22" s="294"/>
      <c r="F22" s="295"/>
      <c r="G22" s="124"/>
      <c r="H22" s="124"/>
      <c r="I22" s="125"/>
      <c r="J22" s="150"/>
      <c r="K22" s="150"/>
      <c r="L22" s="150"/>
      <c r="M22" s="311"/>
      <c r="N22" s="132"/>
      <c r="O22" s="133"/>
      <c r="P22" s="134"/>
      <c r="Q22" s="133"/>
      <c r="R22" s="312"/>
      <c r="S22" s="313"/>
      <c r="T22" s="124"/>
      <c r="U22" s="314"/>
      <c r="V22" s="150"/>
      <c r="W22" s="314"/>
      <c r="X22" s="150"/>
      <c r="Y22" s="315"/>
      <c r="Z22" s="316"/>
      <c r="AA22" s="314"/>
      <c r="AB22" s="314"/>
      <c r="AC22" s="124"/>
      <c r="AD22" s="81"/>
      <c r="AE22" s="314"/>
      <c r="AF22" s="125"/>
      <c r="AG22" s="125"/>
      <c r="AH22" s="317"/>
      <c r="AI22" s="135"/>
      <c r="AJ22" s="135"/>
      <c r="AK22" s="147"/>
      <c r="AL22" s="124"/>
      <c r="AM22" s="148"/>
      <c r="AN22" s="148"/>
      <c r="AO22" s="318"/>
      <c r="AP22" s="319"/>
      <c r="AR22" s="265" t="str">
        <f>IF(G22="","",VLOOKUP(G22,'AUX2'!$C$62:$G$93,2,0))</f>
        <v/>
      </c>
      <c r="AS22" s="265" t="str">
        <f>IF(G22="","",VLOOKUP(G22,'AUX2'!$C$62:$G$93,3,0))</f>
        <v/>
      </c>
      <c r="AT22" s="265" t="str">
        <f>IF(H22="","",VLOOKUP(H22,'AUX2'!$C$98:$D$102,2,0))</f>
        <v/>
      </c>
      <c r="AU22" s="266"/>
      <c r="AV22" s="267">
        <f t="shared" si="2"/>
        <v>0</v>
      </c>
      <c r="AW22" s="268">
        <f>IF(AV22="",0,AV22*'AUX2'!$K$129)</f>
        <v>0</v>
      </c>
      <c r="AX22" s="269">
        <f t="shared" si="3"/>
        <v>0</v>
      </c>
      <c r="AY22" s="270">
        <f>IF(AX22="",0,AX22*'AUX2'!$K$129)</f>
        <v>0</v>
      </c>
      <c r="AZ22" s="271">
        <f t="shared" si="4"/>
        <v>0</v>
      </c>
      <c r="BA22" s="272">
        <f>IF(AZ22="",0,AZ22*'AUX2'!$K$129)</f>
        <v>0</v>
      </c>
      <c r="BB22" s="273">
        <f t="shared" si="5"/>
        <v>0</v>
      </c>
      <c r="BC22" s="274">
        <f>IF(BB22="",0,BB22*'AUX2'!$K$129)</f>
        <v>0</v>
      </c>
      <c r="BD22" s="275"/>
      <c r="BE22" s="276" t="str">
        <f t="shared" si="6"/>
        <v/>
      </c>
      <c r="BF22" s="277" t="str">
        <f>IF(BE22="","",VLOOKUP(T22,'AUX2'!$C$121:$E$125,2,0))</f>
        <v/>
      </c>
      <c r="BG22" s="277" t="str">
        <f t="shared" si="7"/>
        <v/>
      </c>
      <c r="BH22" s="267" t="str">
        <f t="shared" si="8"/>
        <v/>
      </c>
      <c r="BI22" s="278" t="str">
        <f>IF(BE22="","",VLOOKUP(T22,'AUX2'!$C$121:$E$125,3,0))</f>
        <v/>
      </c>
      <c r="BJ22" s="277">
        <f>IF(BE22&lt;=300,'AUX2'!$D$129,IF(AND(BE22&gt;300,BE22&lt;=600),'AUX2'!$D$130,IF(AND(BE22&gt;600,BE22&lt;=900),'AUX2'!$D$131,IF(AND(BE22&gt;900,BE22&lt;=1200),'AUX2'!$D$132,IF(AND(BE22&gt;1200,BE22&lt;=1500),'AUX2'!$D$133,IF(BE22&gt;1500,'AUX2'!$D$134))))))</f>
        <v>0</v>
      </c>
      <c r="BK22" s="277">
        <f t="shared" si="9"/>
        <v>0</v>
      </c>
      <c r="BL22" s="279"/>
      <c r="BM22" s="280" t="str">
        <f t="shared" si="10"/>
        <v/>
      </c>
      <c r="BN22" s="281" t="str">
        <f t="shared" si="11"/>
        <v/>
      </c>
      <c r="BO22" s="269" t="str">
        <f t="shared" si="12"/>
        <v/>
      </c>
      <c r="BP22" s="282" t="str">
        <f>IF(BO22="","",VLOOKUP(AC22,'AUX2'!$C$121:$E$125,2,0))</f>
        <v/>
      </c>
      <c r="BQ22" s="282" t="str">
        <f t="shared" si="13"/>
        <v/>
      </c>
      <c r="BR22" s="269" t="str">
        <f t="shared" si="14"/>
        <v/>
      </c>
      <c r="BS22" s="269" t="str">
        <f t="shared" si="15"/>
        <v/>
      </c>
      <c r="BT22" s="282" t="str">
        <f>IF(BO22="","",VLOOKUP(AC22,'AUX2'!$C$121:$E$125,3,0))</f>
        <v/>
      </c>
      <c r="BU22" s="283">
        <f>IF(BN22&lt;=300,'AUX2'!$D$129,IF(AND(BN22&gt;300,BN22&lt;=600),'AUX2'!$D$130,IF(AND(BN22&gt;600,BN22&lt;=900),'AUX2'!$D$131,IF(AND(BN22&gt;900,BN22&lt;=1200),'AUX2'!$D$132,IF(AND(BN22&gt;1200,BN22&lt;=1500),'AUX2'!$D$133,IF(BN22&gt;1500,'AUX2'!$D$134))))))</f>
        <v>0</v>
      </c>
      <c r="BV22" s="284">
        <f t="shared" si="16"/>
        <v>0</v>
      </c>
      <c r="BW22" s="279"/>
      <c r="BX22" s="285">
        <f t="shared" si="17"/>
        <v>0</v>
      </c>
      <c r="BY22" s="285">
        <f t="shared" si="18"/>
        <v>0</v>
      </c>
      <c r="BZ22" s="285">
        <f>AK22*'AUX2'!$K$137</f>
        <v>0</v>
      </c>
      <c r="CA22" s="285" t="str">
        <f t="shared" si="19"/>
        <v/>
      </c>
      <c r="CB22" s="285" t="str">
        <f>IF(CA22="","",VLOOKUP(AL22,'AUX2'!$C$121:$E$125,2,0))</f>
        <v/>
      </c>
      <c r="CC22" s="285" t="str">
        <f t="shared" si="20"/>
        <v/>
      </c>
      <c r="CD22" s="285" t="str">
        <f t="shared" si="21"/>
        <v/>
      </c>
      <c r="CE22" s="285" t="str">
        <f>IF(CA22="","",VLOOKUP(AL22,'AUX2'!$C$121:$E$125,3,0))</f>
        <v/>
      </c>
      <c r="CF22" s="285">
        <f>IF(CA22&lt;=300,'AUX2'!$D$129,IF(AND(CA22&gt;300,CA22&lt;=600),'AUX2'!$D$130,IF(AND(CA22&gt;600,CA22&lt;=900),'AUX2'!$D$131,IF(AND(CA22&gt;900,CA22&lt;=1200),'AUX2'!$D$132,IF(AND(CA22&gt;1200,CA22&lt;=1500),'AUX2'!$D$133,IF(CA22&gt;1500,'AUX2'!$D$134))))))</f>
        <v>0</v>
      </c>
      <c r="CG22" s="285">
        <f t="shared" si="22"/>
        <v>0</v>
      </c>
      <c r="CI22" s="286">
        <f t="shared" si="23"/>
        <v>0</v>
      </c>
      <c r="CJ22" s="287">
        <f t="shared" si="24"/>
        <v>0</v>
      </c>
      <c r="CK22" s="287">
        <f t="shared" si="25"/>
        <v>0</v>
      </c>
      <c r="CL22" s="287">
        <f t="shared" si="25"/>
        <v>0</v>
      </c>
      <c r="CM22" s="288">
        <f t="shared" si="26"/>
        <v>0</v>
      </c>
      <c r="CN22" s="289">
        <f t="shared" si="27"/>
        <v>0</v>
      </c>
      <c r="CO22" s="290">
        <f t="shared" si="28"/>
        <v>0</v>
      </c>
      <c r="CQ22" s="291" t="str">
        <f t="shared" si="29"/>
        <v/>
      </c>
      <c r="CR22" s="392"/>
    </row>
    <row r="23" spans="2:96" s="264" customFormat="1" ht="15.75" thickBot="1" x14ac:dyDescent="0.3">
      <c r="B23" s="34">
        <v>17</v>
      </c>
      <c r="C23" s="292" t="str">
        <f t="shared" si="1"/>
        <v/>
      </c>
      <c r="D23" s="293"/>
      <c r="E23" s="294"/>
      <c r="F23" s="295"/>
      <c r="G23" s="124"/>
      <c r="H23" s="124"/>
      <c r="I23" s="125"/>
      <c r="J23" s="150"/>
      <c r="K23" s="150"/>
      <c r="L23" s="150"/>
      <c r="M23" s="311"/>
      <c r="N23" s="132"/>
      <c r="O23" s="133"/>
      <c r="P23" s="134"/>
      <c r="Q23" s="133"/>
      <c r="R23" s="312"/>
      <c r="S23" s="313"/>
      <c r="T23" s="124"/>
      <c r="U23" s="314"/>
      <c r="V23" s="150"/>
      <c r="W23" s="314"/>
      <c r="X23" s="150"/>
      <c r="Y23" s="315"/>
      <c r="Z23" s="316"/>
      <c r="AA23" s="314"/>
      <c r="AB23" s="314"/>
      <c r="AC23" s="124"/>
      <c r="AD23" s="81"/>
      <c r="AE23" s="314"/>
      <c r="AF23" s="125"/>
      <c r="AG23" s="125"/>
      <c r="AH23" s="317"/>
      <c r="AI23" s="135"/>
      <c r="AJ23" s="135"/>
      <c r="AK23" s="147"/>
      <c r="AL23" s="124"/>
      <c r="AM23" s="148"/>
      <c r="AN23" s="148"/>
      <c r="AO23" s="318"/>
      <c r="AP23" s="319"/>
      <c r="AR23" s="265" t="str">
        <f>IF(G23="","",VLOOKUP(G23,'AUX2'!$C$62:$G$93,2,0))</f>
        <v/>
      </c>
      <c r="AS23" s="265" t="str">
        <f>IF(G23="","",VLOOKUP(G23,'AUX2'!$C$62:$G$93,3,0))</f>
        <v/>
      </c>
      <c r="AT23" s="265" t="str">
        <f>IF(H23="","",VLOOKUP(H23,'AUX2'!$C$98:$D$102,2,0))</f>
        <v/>
      </c>
      <c r="AU23" s="266"/>
      <c r="AV23" s="267">
        <f t="shared" si="2"/>
        <v>0</v>
      </c>
      <c r="AW23" s="268">
        <f>IF(AV23="",0,AV23*'AUX2'!$K$129)</f>
        <v>0</v>
      </c>
      <c r="AX23" s="269">
        <f t="shared" si="3"/>
        <v>0</v>
      </c>
      <c r="AY23" s="270">
        <f>IF(AX23="",0,AX23*'AUX2'!$K$129)</f>
        <v>0</v>
      </c>
      <c r="AZ23" s="271">
        <f t="shared" si="4"/>
        <v>0</v>
      </c>
      <c r="BA23" s="272">
        <f>IF(AZ23="",0,AZ23*'AUX2'!$K$129)</f>
        <v>0</v>
      </c>
      <c r="BB23" s="273">
        <f t="shared" si="5"/>
        <v>0</v>
      </c>
      <c r="BC23" s="274">
        <f>IF(BB23="",0,BB23*'AUX2'!$K$129)</f>
        <v>0</v>
      </c>
      <c r="BD23" s="275"/>
      <c r="BE23" s="276" t="str">
        <f t="shared" si="6"/>
        <v/>
      </c>
      <c r="BF23" s="277" t="str">
        <f>IF(BE23="","",VLOOKUP(T23,'AUX2'!$C$121:$E$125,2,0))</f>
        <v/>
      </c>
      <c r="BG23" s="277" t="str">
        <f t="shared" si="7"/>
        <v/>
      </c>
      <c r="BH23" s="267" t="str">
        <f t="shared" si="8"/>
        <v/>
      </c>
      <c r="BI23" s="278" t="str">
        <f>IF(BE23="","",VLOOKUP(T23,'AUX2'!$C$121:$E$125,3,0))</f>
        <v/>
      </c>
      <c r="BJ23" s="277">
        <f>IF(BE23&lt;=300,'AUX2'!$D$129,IF(AND(BE23&gt;300,BE23&lt;=600),'AUX2'!$D$130,IF(AND(BE23&gt;600,BE23&lt;=900),'AUX2'!$D$131,IF(AND(BE23&gt;900,BE23&lt;=1200),'AUX2'!$D$132,IF(AND(BE23&gt;1200,BE23&lt;=1500),'AUX2'!$D$133,IF(BE23&gt;1500,'AUX2'!$D$134))))))</f>
        <v>0</v>
      </c>
      <c r="BK23" s="277">
        <f t="shared" si="9"/>
        <v>0</v>
      </c>
      <c r="BL23" s="279"/>
      <c r="BM23" s="280" t="str">
        <f t="shared" si="10"/>
        <v/>
      </c>
      <c r="BN23" s="281" t="str">
        <f t="shared" si="11"/>
        <v/>
      </c>
      <c r="BO23" s="269" t="str">
        <f t="shared" si="12"/>
        <v/>
      </c>
      <c r="BP23" s="282" t="str">
        <f>IF(BO23="","",VLOOKUP(AC23,'AUX2'!$C$121:$E$125,2,0))</f>
        <v/>
      </c>
      <c r="BQ23" s="282" t="str">
        <f t="shared" si="13"/>
        <v/>
      </c>
      <c r="BR23" s="269" t="str">
        <f t="shared" si="14"/>
        <v/>
      </c>
      <c r="BS23" s="269" t="str">
        <f t="shared" si="15"/>
        <v/>
      </c>
      <c r="BT23" s="282" t="str">
        <f>IF(BO23="","",VLOOKUP(AC23,'AUX2'!$C$121:$E$125,3,0))</f>
        <v/>
      </c>
      <c r="BU23" s="283">
        <f>IF(BN23&lt;=300,'AUX2'!$D$129,IF(AND(BN23&gt;300,BN23&lt;=600),'AUX2'!$D$130,IF(AND(BN23&gt;600,BN23&lt;=900),'AUX2'!$D$131,IF(AND(BN23&gt;900,BN23&lt;=1200),'AUX2'!$D$132,IF(AND(BN23&gt;1200,BN23&lt;=1500),'AUX2'!$D$133,IF(BN23&gt;1500,'AUX2'!$D$134))))))</f>
        <v>0</v>
      </c>
      <c r="BV23" s="284">
        <f t="shared" si="16"/>
        <v>0</v>
      </c>
      <c r="BW23" s="279"/>
      <c r="BX23" s="285">
        <f t="shared" si="17"/>
        <v>0</v>
      </c>
      <c r="BY23" s="285">
        <f t="shared" si="18"/>
        <v>0</v>
      </c>
      <c r="BZ23" s="285">
        <f>AK23*'AUX2'!$K$137</f>
        <v>0</v>
      </c>
      <c r="CA23" s="285" t="str">
        <f t="shared" si="19"/>
        <v/>
      </c>
      <c r="CB23" s="285" t="str">
        <f>IF(CA23="","",VLOOKUP(AL23,'AUX2'!$C$121:$E$125,2,0))</f>
        <v/>
      </c>
      <c r="CC23" s="285" t="str">
        <f t="shared" si="20"/>
        <v/>
      </c>
      <c r="CD23" s="285" t="str">
        <f t="shared" si="21"/>
        <v/>
      </c>
      <c r="CE23" s="285" t="str">
        <f>IF(CA23="","",VLOOKUP(AL23,'AUX2'!$C$121:$E$125,3,0))</f>
        <v/>
      </c>
      <c r="CF23" s="285">
        <f>IF(CA23&lt;=300,'AUX2'!$D$129,IF(AND(CA23&gt;300,CA23&lt;=600),'AUX2'!$D$130,IF(AND(CA23&gt;600,CA23&lt;=900),'AUX2'!$D$131,IF(AND(CA23&gt;900,CA23&lt;=1200),'AUX2'!$D$132,IF(AND(CA23&gt;1200,CA23&lt;=1500),'AUX2'!$D$133,IF(CA23&gt;1500,'AUX2'!$D$134))))))</f>
        <v>0</v>
      </c>
      <c r="CG23" s="285">
        <f t="shared" si="22"/>
        <v>0</v>
      </c>
      <c r="CI23" s="286">
        <f t="shared" si="23"/>
        <v>0</v>
      </c>
      <c r="CJ23" s="287">
        <f t="shared" si="24"/>
        <v>0</v>
      </c>
      <c r="CK23" s="287">
        <f t="shared" si="25"/>
        <v>0</v>
      </c>
      <c r="CL23" s="287">
        <f t="shared" si="25"/>
        <v>0</v>
      </c>
      <c r="CM23" s="288">
        <f t="shared" si="26"/>
        <v>0</v>
      </c>
      <c r="CN23" s="289">
        <f t="shared" si="27"/>
        <v>0</v>
      </c>
      <c r="CO23" s="290">
        <f t="shared" si="28"/>
        <v>0</v>
      </c>
      <c r="CQ23" s="291" t="str">
        <f t="shared" si="29"/>
        <v/>
      </c>
      <c r="CR23" s="392"/>
    </row>
    <row r="24" spans="2:96" s="264" customFormat="1" ht="15.75" thickBot="1" x14ac:dyDescent="0.3">
      <c r="B24" s="34">
        <v>18</v>
      </c>
      <c r="C24" s="292" t="str">
        <f t="shared" si="1"/>
        <v/>
      </c>
      <c r="D24" s="293"/>
      <c r="E24" s="294"/>
      <c r="F24" s="295"/>
      <c r="G24" s="124"/>
      <c r="H24" s="124"/>
      <c r="I24" s="125"/>
      <c r="J24" s="150"/>
      <c r="K24" s="150"/>
      <c r="L24" s="150"/>
      <c r="M24" s="311"/>
      <c r="N24" s="132"/>
      <c r="O24" s="133"/>
      <c r="P24" s="134"/>
      <c r="Q24" s="133"/>
      <c r="R24" s="312"/>
      <c r="S24" s="313"/>
      <c r="T24" s="124"/>
      <c r="U24" s="314"/>
      <c r="V24" s="150"/>
      <c r="W24" s="314"/>
      <c r="X24" s="150"/>
      <c r="Y24" s="315"/>
      <c r="Z24" s="316"/>
      <c r="AA24" s="314"/>
      <c r="AB24" s="314"/>
      <c r="AC24" s="124"/>
      <c r="AD24" s="81"/>
      <c r="AE24" s="314"/>
      <c r="AF24" s="125"/>
      <c r="AG24" s="125"/>
      <c r="AH24" s="317"/>
      <c r="AI24" s="135"/>
      <c r="AJ24" s="135"/>
      <c r="AK24" s="147"/>
      <c r="AL24" s="124"/>
      <c r="AM24" s="148"/>
      <c r="AN24" s="148"/>
      <c r="AO24" s="318"/>
      <c r="AP24" s="319"/>
      <c r="AR24" s="265" t="str">
        <f>IF(G24="","",VLOOKUP(G24,'AUX2'!$C$62:$G$93,2,0))</f>
        <v/>
      </c>
      <c r="AS24" s="265" t="str">
        <f>IF(G24="","",VLOOKUP(G24,'AUX2'!$C$62:$G$93,3,0))</f>
        <v/>
      </c>
      <c r="AT24" s="265" t="str">
        <f>IF(H24="","",VLOOKUP(H24,'AUX2'!$C$98:$D$102,2,0))</f>
        <v/>
      </c>
      <c r="AU24" s="266"/>
      <c r="AV24" s="267">
        <f t="shared" si="2"/>
        <v>0</v>
      </c>
      <c r="AW24" s="268">
        <f>IF(AV24="",0,AV24*'AUX2'!$K$129)</f>
        <v>0</v>
      </c>
      <c r="AX24" s="269">
        <f t="shared" si="3"/>
        <v>0</v>
      </c>
      <c r="AY24" s="270">
        <f>IF(AX24="",0,AX24*'AUX2'!$K$129)</f>
        <v>0</v>
      </c>
      <c r="AZ24" s="271">
        <f t="shared" si="4"/>
        <v>0</v>
      </c>
      <c r="BA24" s="272">
        <f>IF(AZ24="",0,AZ24*'AUX2'!$K$129)</f>
        <v>0</v>
      </c>
      <c r="BB24" s="273">
        <f t="shared" si="5"/>
        <v>0</v>
      </c>
      <c r="BC24" s="274">
        <f>IF(BB24="",0,BB24*'AUX2'!$K$129)</f>
        <v>0</v>
      </c>
      <c r="BD24" s="275"/>
      <c r="BE24" s="276" t="str">
        <f t="shared" si="6"/>
        <v/>
      </c>
      <c r="BF24" s="277" t="str">
        <f>IF(BE24="","",VLOOKUP(T24,'AUX2'!$C$121:$E$125,2,0))</f>
        <v/>
      </c>
      <c r="BG24" s="277" t="str">
        <f t="shared" si="7"/>
        <v/>
      </c>
      <c r="BH24" s="267" t="str">
        <f t="shared" si="8"/>
        <v/>
      </c>
      <c r="BI24" s="278" t="str">
        <f>IF(BE24="","",VLOOKUP(T24,'AUX2'!$C$121:$E$125,3,0))</f>
        <v/>
      </c>
      <c r="BJ24" s="277">
        <f>IF(BE24&lt;=300,'AUX2'!$D$129,IF(AND(BE24&gt;300,BE24&lt;=600),'AUX2'!$D$130,IF(AND(BE24&gt;600,BE24&lt;=900),'AUX2'!$D$131,IF(AND(BE24&gt;900,BE24&lt;=1200),'AUX2'!$D$132,IF(AND(BE24&gt;1200,BE24&lt;=1500),'AUX2'!$D$133,IF(BE24&gt;1500,'AUX2'!$D$134))))))</f>
        <v>0</v>
      </c>
      <c r="BK24" s="277">
        <f t="shared" si="9"/>
        <v>0</v>
      </c>
      <c r="BL24" s="279"/>
      <c r="BM24" s="280" t="str">
        <f t="shared" si="10"/>
        <v/>
      </c>
      <c r="BN24" s="281" t="str">
        <f t="shared" si="11"/>
        <v/>
      </c>
      <c r="BO24" s="269" t="str">
        <f t="shared" si="12"/>
        <v/>
      </c>
      <c r="BP24" s="282" t="str">
        <f>IF(BO24="","",VLOOKUP(AC24,'AUX2'!$C$121:$E$125,2,0))</f>
        <v/>
      </c>
      <c r="BQ24" s="282" t="str">
        <f t="shared" si="13"/>
        <v/>
      </c>
      <c r="BR24" s="269" t="str">
        <f t="shared" si="14"/>
        <v/>
      </c>
      <c r="BS24" s="269" t="str">
        <f t="shared" si="15"/>
        <v/>
      </c>
      <c r="BT24" s="282" t="str">
        <f>IF(BO24="","",VLOOKUP(AC24,'AUX2'!$C$121:$E$125,3,0))</f>
        <v/>
      </c>
      <c r="BU24" s="283">
        <f>IF(BN24&lt;=300,'AUX2'!$D$129,IF(AND(BN24&gt;300,BN24&lt;=600),'AUX2'!$D$130,IF(AND(BN24&gt;600,BN24&lt;=900),'AUX2'!$D$131,IF(AND(BN24&gt;900,BN24&lt;=1200),'AUX2'!$D$132,IF(AND(BN24&gt;1200,BN24&lt;=1500),'AUX2'!$D$133,IF(BN24&gt;1500,'AUX2'!$D$134))))))</f>
        <v>0</v>
      </c>
      <c r="BV24" s="284">
        <f t="shared" si="16"/>
        <v>0</v>
      </c>
      <c r="BW24" s="279"/>
      <c r="BX24" s="285">
        <f t="shared" si="17"/>
        <v>0</v>
      </c>
      <c r="BY24" s="285">
        <f t="shared" si="18"/>
        <v>0</v>
      </c>
      <c r="BZ24" s="285">
        <f>AK24*'AUX2'!$K$137</f>
        <v>0</v>
      </c>
      <c r="CA24" s="285" t="str">
        <f t="shared" si="19"/>
        <v/>
      </c>
      <c r="CB24" s="285" t="str">
        <f>IF(CA24="","",VLOOKUP(AL24,'AUX2'!$C$121:$E$125,2,0))</f>
        <v/>
      </c>
      <c r="CC24" s="285" t="str">
        <f t="shared" si="20"/>
        <v/>
      </c>
      <c r="CD24" s="285" t="str">
        <f t="shared" si="21"/>
        <v/>
      </c>
      <c r="CE24" s="285" t="str">
        <f>IF(CA24="","",VLOOKUP(AL24,'AUX2'!$C$121:$E$125,3,0))</f>
        <v/>
      </c>
      <c r="CF24" s="285">
        <f>IF(CA24&lt;=300,'AUX2'!$D$129,IF(AND(CA24&gt;300,CA24&lt;=600),'AUX2'!$D$130,IF(AND(CA24&gt;600,CA24&lt;=900),'AUX2'!$D$131,IF(AND(CA24&gt;900,CA24&lt;=1200),'AUX2'!$D$132,IF(AND(CA24&gt;1200,CA24&lt;=1500),'AUX2'!$D$133,IF(CA24&gt;1500,'AUX2'!$D$134))))))</f>
        <v>0</v>
      </c>
      <c r="CG24" s="285">
        <f t="shared" si="22"/>
        <v>0</v>
      </c>
      <c r="CI24" s="286">
        <f t="shared" si="23"/>
        <v>0</v>
      </c>
      <c r="CJ24" s="287">
        <f t="shared" si="24"/>
        <v>0</v>
      </c>
      <c r="CK24" s="287">
        <f t="shared" si="25"/>
        <v>0</v>
      </c>
      <c r="CL24" s="287">
        <f t="shared" si="25"/>
        <v>0</v>
      </c>
      <c r="CM24" s="288">
        <f t="shared" si="26"/>
        <v>0</v>
      </c>
      <c r="CN24" s="289">
        <f t="shared" si="27"/>
        <v>0</v>
      </c>
      <c r="CO24" s="290">
        <f t="shared" si="28"/>
        <v>0</v>
      </c>
      <c r="CQ24" s="291" t="str">
        <f t="shared" si="29"/>
        <v/>
      </c>
      <c r="CR24" s="392"/>
    </row>
    <row r="25" spans="2:96" s="264" customFormat="1" ht="15.75" thickBot="1" x14ac:dyDescent="0.3">
      <c r="B25" s="34">
        <v>19</v>
      </c>
      <c r="C25" s="292" t="str">
        <f t="shared" si="1"/>
        <v/>
      </c>
      <c r="D25" s="293"/>
      <c r="E25" s="294"/>
      <c r="F25" s="295"/>
      <c r="G25" s="124"/>
      <c r="H25" s="124"/>
      <c r="I25" s="125"/>
      <c r="J25" s="150"/>
      <c r="K25" s="150"/>
      <c r="L25" s="150"/>
      <c r="M25" s="311"/>
      <c r="N25" s="132"/>
      <c r="O25" s="133"/>
      <c r="P25" s="134"/>
      <c r="Q25" s="133"/>
      <c r="R25" s="312"/>
      <c r="S25" s="313"/>
      <c r="T25" s="124"/>
      <c r="U25" s="314"/>
      <c r="V25" s="150"/>
      <c r="W25" s="314"/>
      <c r="X25" s="150"/>
      <c r="Y25" s="315"/>
      <c r="Z25" s="316"/>
      <c r="AA25" s="314"/>
      <c r="AB25" s="314"/>
      <c r="AC25" s="124"/>
      <c r="AD25" s="81"/>
      <c r="AE25" s="314"/>
      <c r="AF25" s="125"/>
      <c r="AG25" s="125"/>
      <c r="AH25" s="317"/>
      <c r="AI25" s="135"/>
      <c r="AJ25" s="135"/>
      <c r="AK25" s="147"/>
      <c r="AL25" s="124"/>
      <c r="AM25" s="148"/>
      <c r="AN25" s="148"/>
      <c r="AO25" s="318"/>
      <c r="AP25" s="319"/>
      <c r="AR25" s="265" t="str">
        <f>IF(G25="","",VLOOKUP(G25,'AUX2'!$C$62:$G$93,2,0))</f>
        <v/>
      </c>
      <c r="AS25" s="265" t="str">
        <f>IF(G25="","",VLOOKUP(G25,'AUX2'!$C$62:$G$93,3,0))</f>
        <v/>
      </c>
      <c r="AT25" s="265" t="str">
        <f>IF(H25="","",VLOOKUP(H25,'AUX2'!$C$98:$D$102,2,0))</f>
        <v/>
      </c>
      <c r="AU25" s="266"/>
      <c r="AV25" s="267">
        <f t="shared" si="2"/>
        <v>0</v>
      </c>
      <c r="AW25" s="268">
        <f>IF(AV25="",0,AV25*'AUX2'!$K$129)</f>
        <v>0</v>
      </c>
      <c r="AX25" s="269">
        <f t="shared" si="3"/>
        <v>0</v>
      </c>
      <c r="AY25" s="270">
        <f>IF(AX25="",0,AX25*'AUX2'!$K$129)</f>
        <v>0</v>
      </c>
      <c r="AZ25" s="271">
        <f t="shared" si="4"/>
        <v>0</v>
      </c>
      <c r="BA25" s="272">
        <f>IF(AZ25="",0,AZ25*'AUX2'!$K$129)</f>
        <v>0</v>
      </c>
      <c r="BB25" s="273">
        <f t="shared" si="5"/>
        <v>0</v>
      </c>
      <c r="BC25" s="274">
        <f>IF(BB25="",0,BB25*'AUX2'!$K$129)</f>
        <v>0</v>
      </c>
      <c r="BD25" s="275"/>
      <c r="BE25" s="276" t="str">
        <f t="shared" si="6"/>
        <v/>
      </c>
      <c r="BF25" s="277" t="str">
        <f>IF(BE25="","",VLOOKUP(T25,'AUX2'!$C$121:$E$125,2,0))</f>
        <v/>
      </c>
      <c r="BG25" s="277" t="str">
        <f t="shared" si="7"/>
        <v/>
      </c>
      <c r="BH25" s="267" t="str">
        <f t="shared" si="8"/>
        <v/>
      </c>
      <c r="BI25" s="278" t="str">
        <f>IF(BE25="","",VLOOKUP(T25,'AUX2'!$C$121:$E$125,3,0))</f>
        <v/>
      </c>
      <c r="BJ25" s="277">
        <f>IF(BE25&lt;=300,'AUX2'!$D$129,IF(AND(BE25&gt;300,BE25&lt;=600),'AUX2'!$D$130,IF(AND(BE25&gt;600,BE25&lt;=900),'AUX2'!$D$131,IF(AND(BE25&gt;900,BE25&lt;=1200),'AUX2'!$D$132,IF(AND(BE25&gt;1200,BE25&lt;=1500),'AUX2'!$D$133,IF(BE25&gt;1500,'AUX2'!$D$134))))))</f>
        <v>0</v>
      </c>
      <c r="BK25" s="277">
        <f t="shared" si="9"/>
        <v>0</v>
      </c>
      <c r="BL25" s="279"/>
      <c r="BM25" s="280" t="str">
        <f t="shared" si="10"/>
        <v/>
      </c>
      <c r="BN25" s="281" t="str">
        <f t="shared" si="11"/>
        <v/>
      </c>
      <c r="BO25" s="269" t="str">
        <f t="shared" si="12"/>
        <v/>
      </c>
      <c r="BP25" s="282" t="str">
        <f>IF(BO25="","",VLOOKUP(AC25,'AUX2'!$C$121:$E$125,2,0))</f>
        <v/>
      </c>
      <c r="BQ25" s="282" t="str">
        <f t="shared" si="13"/>
        <v/>
      </c>
      <c r="BR25" s="269" t="str">
        <f t="shared" si="14"/>
        <v/>
      </c>
      <c r="BS25" s="269" t="str">
        <f t="shared" si="15"/>
        <v/>
      </c>
      <c r="BT25" s="282" t="str">
        <f>IF(BO25="","",VLOOKUP(AC25,'AUX2'!$C$121:$E$125,3,0))</f>
        <v/>
      </c>
      <c r="BU25" s="283">
        <f>IF(BN25&lt;=300,'AUX2'!$D$129,IF(AND(BN25&gt;300,BN25&lt;=600),'AUX2'!$D$130,IF(AND(BN25&gt;600,BN25&lt;=900),'AUX2'!$D$131,IF(AND(BN25&gt;900,BN25&lt;=1200),'AUX2'!$D$132,IF(AND(BN25&gt;1200,BN25&lt;=1500),'AUX2'!$D$133,IF(BN25&gt;1500,'AUX2'!$D$134))))))</f>
        <v>0</v>
      </c>
      <c r="BV25" s="284">
        <f t="shared" si="16"/>
        <v>0</v>
      </c>
      <c r="BW25" s="279"/>
      <c r="BX25" s="285">
        <f t="shared" si="17"/>
        <v>0</v>
      </c>
      <c r="BY25" s="285">
        <f t="shared" si="18"/>
        <v>0</v>
      </c>
      <c r="BZ25" s="285">
        <f>AK25*'AUX2'!$K$137</f>
        <v>0</v>
      </c>
      <c r="CA25" s="285" t="str">
        <f t="shared" si="19"/>
        <v/>
      </c>
      <c r="CB25" s="285" t="str">
        <f>IF(CA25="","",VLOOKUP(AL25,'AUX2'!$C$121:$E$125,2,0))</f>
        <v/>
      </c>
      <c r="CC25" s="285" t="str">
        <f t="shared" si="20"/>
        <v/>
      </c>
      <c r="CD25" s="285" t="str">
        <f t="shared" si="21"/>
        <v/>
      </c>
      <c r="CE25" s="285" t="str">
        <f>IF(CA25="","",VLOOKUP(AL25,'AUX2'!$C$121:$E$125,3,0))</f>
        <v/>
      </c>
      <c r="CF25" s="285">
        <f>IF(CA25&lt;=300,'AUX2'!$D$129,IF(AND(CA25&gt;300,CA25&lt;=600),'AUX2'!$D$130,IF(AND(CA25&gt;600,CA25&lt;=900),'AUX2'!$D$131,IF(AND(CA25&gt;900,CA25&lt;=1200),'AUX2'!$D$132,IF(AND(CA25&gt;1200,CA25&lt;=1500),'AUX2'!$D$133,IF(CA25&gt;1500,'AUX2'!$D$134))))))</f>
        <v>0</v>
      </c>
      <c r="CG25" s="285">
        <f t="shared" si="22"/>
        <v>0</v>
      </c>
      <c r="CI25" s="286">
        <f t="shared" si="23"/>
        <v>0</v>
      </c>
      <c r="CJ25" s="287">
        <f t="shared" si="24"/>
        <v>0</v>
      </c>
      <c r="CK25" s="287">
        <f t="shared" si="25"/>
        <v>0</v>
      </c>
      <c r="CL25" s="287">
        <f t="shared" si="25"/>
        <v>0</v>
      </c>
      <c r="CM25" s="288">
        <f t="shared" si="26"/>
        <v>0</v>
      </c>
      <c r="CN25" s="289">
        <f t="shared" si="27"/>
        <v>0</v>
      </c>
      <c r="CO25" s="290">
        <f t="shared" si="28"/>
        <v>0</v>
      </c>
      <c r="CQ25" s="291" t="str">
        <f t="shared" si="29"/>
        <v/>
      </c>
      <c r="CR25" s="392"/>
    </row>
    <row r="26" spans="2:96" s="264" customFormat="1" ht="15.75" thickBot="1" x14ac:dyDescent="0.3">
      <c r="B26" s="34">
        <v>20</v>
      </c>
      <c r="C26" s="292" t="str">
        <f t="shared" si="1"/>
        <v/>
      </c>
      <c r="D26" s="293"/>
      <c r="E26" s="294"/>
      <c r="F26" s="295"/>
      <c r="G26" s="124"/>
      <c r="H26" s="124"/>
      <c r="I26" s="125"/>
      <c r="J26" s="150"/>
      <c r="K26" s="150"/>
      <c r="L26" s="150"/>
      <c r="M26" s="311"/>
      <c r="N26" s="132"/>
      <c r="O26" s="133"/>
      <c r="P26" s="134"/>
      <c r="Q26" s="133"/>
      <c r="R26" s="312"/>
      <c r="S26" s="313"/>
      <c r="T26" s="124"/>
      <c r="U26" s="314"/>
      <c r="V26" s="150"/>
      <c r="W26" s="314"/>
      <c r="X26" s="150"/>
      <c r="Y26" s="315"/>
      <c r="Z26" s="316"/>
      <c r="AA26" s="314"/>
      <c r="AB26" s="314"/>
      <c r="AC26" s="124"/>
      <c r="AD26" s="81"/>
      <c r="AE26" s="314"/>
      <c r="AF26" s="125"/>
      <c r="AG26" s="125"/>
      <c r="AH26" s="317"/>
      <c r="AI26" s="135"/>
      <c r="AJ26" s="135"/>
      <c r="AK26" s="147"/>
      <c r="AL26" s="124"/>
      <c r="AM26" s="148"/>
      <c r="AN26" s="148"/>
      <c r="AO26" s="318"/>
      <c r="AP26" s="319"/>
      <c r="AR26" s="265" t="str">
        <f>IF(G26="","",VLOOKUP(G26,'AUX2'!$C$62:$G$93,2,0))</f>
        <v/>
      </c>
      <c r="AS26" s="265" t="str">
        <f>IF(G26="","",VLOOKUP(G26,'AUX2'!$C$62:$G$93,3,0))</f>
        <v/>
      </c>
      <c r="AT26" s="265" t="str">
        <f>IF(H26="","",VLOOKUP(H26,'AUX2'!$C$98:$D$102,2,0))</f>
        <v/>
      </c>
      <c r="AU26" s="266"/>
      <c r="AV26" s="267">
        <f t="shared" si="2"/>
        <v>0</v>
      </c>
      <c r="AW26" s="268">
        <f>IF(AV26="",0,AV26*'AUX2'!$K$129)</f>
        <v>0</v>
      </c>
      <c r="AX26" s="269">
        <f t="shared" si="3"/>
        <v>0</v>
      </c>
      <c r="AY26" s="270">
        <f>IF(AX26="",0,AX26*'AUX2'!$K$129)</f>
        <v>0</v>
      </c>
      <c r="AZ26" s="271">
        <f t="shared" si="4"/>
        <v>0</v>
      </c>
      <c r="BA26" s="272">
        <f>IF(AZ26="",0,AZ26*'AUX2'!$K$129)</f>
        <v>0</v>
      </c>
      <c r="BB26" s="273">
        <f t="shared" si="5"/>
        <v>0</v>
      </c>
      <c r="BC26" s="274">
        <f>IF(BB26="",0,BB26*'AUX2'!$K$129)</f>
        <v>0</v>
      </c>
      <c r="BD26" s="275"/>
      <c r="BE26" s="276" t="str">
        <f t="shared" si="6"/>
        <v/>
      </c>
      <c r="BF26" s="277" t="str">
        <f>IF(BE26="","",VLOOKUP(T26,'AUX2'!$C$121:$E$125,2,0))</f>
        <v/>
      </c>
      <c r="BG26" s="277" t="str">
        <f t="shared" si="7"/>
        <v/>
      </c>
      <c r="BH26" s="267" t="str">
        <f t="shared" si="8"/>
        <v/>
      </c>
      <c r="BI26" s="278" t="str">
        <f>IF(BE26="","",VLOOKUP(T26,'AUX2'!$C$121:$E$125,3,0))</f>
        <v/>
      </c>
      <c r="BJ26" s="277">
        <f>IF(BE26&lt;=300,'AUX2'!$D$129,IF(AND(BE26&gt;300,BE26&lt;=600),'AUX2'!$D$130,IF(AND(BE26&gt;600,BE26&lt;=900),'AUX2'!$D$131,IF(AND(BE26&gt;900,BE26&lt;=1200),'AUX2'!$D$132,IF(AND(BE26&gt;1200,BE26&lt;=1500),'AUX2'!$D$133,IF(BE26&gt;1500,'AUX2'!$D$134))))))</f>
        <v>0</v>
      </c>
      <c r="BK26" s="277">
        <f t="shared" si="9"/>
        <v>0</v>
      </c>
      <c r="BL26" s="279"/>
      <c r="BM26" s="280" t="str">
        <f t="shared" si="10"/>
        <v/>
      </c>
      <c r="BN26" s="281" t="str">
        <f t="shared" si="11"/>
        <v/>
      </c>
      <c r="BO26" s="269" t="str">
        <f t="shared" si="12"/>
        <v/>
      </c>
      <c r="BP26" s="282" t="str">
        <f>IF(BO26="","",VLOOKUP(AC26,'AUX2'!$C$121:$E$125,2,0))</f>
        <v/>
      </c>
      <c r="BQ26" s="282" t="str">
        <f t="shared" si="13"/>
        <v/>
      </c>
      <c r="BR26" s="269" t="str">
        <f t="shared" si="14"/>
        <v/>
      </c>
      <c r="BS26" s="269" t="str">
        <f t="shared" si="15"/>
        <v/>
      </c>
      <c r="BT26" s="282" t="str">
        <f>IF(BO26="","",VLOOKUP(AC26,'AUX2'!$C$121:$E$125,3,0))</f>
        <v/>
      </c>
      <c r="BU26" s="283">
        <f>IF(BN26&lt;=300,'AUX2'!$D$129,IF(AND(BN26&gt;300,BN26&lt;=600),'AUX2'!$D$130,IF(AND(BN26&gt;600,BN26&lt;=900),'AUX2'!$D$131,IF(AND(BN26&gt;900,BN26&lt;=1200),'AUX2'!$D$132,IF(AND(BN26&gt;1200,BN26&lt;=1500),'AUX2'!$D$133,IF(BN26&gt;1500,'AUX2'!$D$134))))))</f>
        <v>0</v>
      </c>
      <c r="BV26" s="284">
        <f t="shared" si="16"/>
        <v>0</v>
      </c>
      <c r="BW26" s="279"/>
      <c r="BX26" s="285">
        <f t="shared" si="17"/>
        <v>0</v>
      </c>
      <c r="BY26" s="285">
        <f t="shared" si="18"/>
        <v>0</v>
      </c>
      <c r="BZ26" s="285">
        <f>AK26*'AUX2'!$K$137</f>
        <v>0</v>
      </c>
      <c r="CA26" s="285" t="str">
        <f t="shared" si="19"/>
        <v/>
      </c>
      <c r="CB26" s="285" t="str">
        <f>IF(CA26="","",VLOOKUP(AL26,'AUX2'!$C$121:$E$125,2,0))</f>
        <v/>
      </c>
      <c r="CC26" s="285" t="str">
        <f t="shared" si="20"/>
        <v/>
      </c>
      <c r="CD26" s="285" t="str">
        <f t="shared" si="21"/>
        <v/>
      </c>
      <c r="CE26" s="285" t="str">
        <f>IF(CA26="","",VLOOKUP(AL26,'AUX2'!$C$121:$E$125,3,0))</f>
        <v/>
      </c>
      <c r="CF26" s="285">
        <f>IF(CA26&lt;=300,'AUX2'!$D$129,IF(AND(CA26&gt;300,CA26&lt;=600),'AUX2'!$D$130,IF(AND(CA26&gt;600,CA26&lt;=900),'AUX2'!$D$131,IF(AND(CA26&gt;900,CA26&lt;=1200),'AUX2'!$D$132,IF(AND(CA26&gt;1200,CA26&lt;=1500),'AUX2'!$D$133,IF(CA26&gt;1500,'AUX2'!$D$134))))))</f>
        <v>0</v>
      </c>
      <c r="CG26" s="285">
        <f t="shared" si="22"/>
        <v>0</v>
      </c>
      <c r="CI26" s="286">
        <f t="shared" si="23"/>
        <v>0</v>
      </c>
      <c r="CJ26" s="287">
        <f t="shared" si="24"/>
        <v>0</v>
      </c>
      <c r="CK26" s="287">
        <f t="shared" si="25"/>
        <v>0</v>
      </c>
      <c r="CL26" s="287">
        <f t="shared" si="25"/>
        <v>0</v>
      </c>
      <c r="CM26" s="288">
        <f t="shared" si="26"/>
        <v>0</v>
      </c>
      <c r="CN26" s="289">
        <f t="shared" si="27"/>
        <v>0</v>
      </c>
      <c r="CO26" s="290">
        <f t="shared" si="28"/>
        <v>0</v>
      </c>
      <c r="CQ26" s="291" t="str">
        <f t="shared" si="29"/>
        <v/>
      </c>
      <c r="CR26" s="392"/>
    </row>
    <row r="27" spans="2:96" s="264" customFormat="1" ht="15.75" thickBot="1" x14ac:dyDescent="0.3">
      <c r="B27" s="34">
        <v>21</v>
      </c>
      <c r="C27" s="292" t="str">
        <f t="shared" si="1"/>
        <v/>
      </c>
      <c r="D27" s="293"/>
      <c r="E27" s="294"/>
      <c r="F27" s="295"/>
      <c r="G27" s="124"/>
      <c r="H27" s="124"/>
      <c r="I27" s="125"/>
      <c r="J27" s="150"/>
      <c r="K27" s="150"/>
      <c r="L27" s="150"/>
      <c r="M27" s="311"/>
      <c r="N27" s="132"/>
      <c r="O27" s="133"/>
      <c r="P27" s="134"/>
      <c r="Q27" s="133"/>
      <c r="R27" s="312"/>
      <c r="S27" s="313"/>
      <c r="T27" s="124"/>
      <c r="U27" s="314"/>
      <c r="V27" s="150"/>
      <c r="W27" s="314"/>
      <c r="X27" s="150"/>
      <c r="Y27" s="315"/>
      <c r="Z27" s="316"/>
      <c r="AA27" s="314"/>
      <c r="AB27" s="314"/>
      <c r="AC27" s="124"/>
      <c r="AD27" s="81"/>
      <c r="AE27" s="314"/>
      <c r="AF27" s="125"/>
      <c r="AG27" s="125"/>
      <c r="AH27" s="317"/>
      <c r="AI27" s="135"/>
      <c r="AJ27" s="135"/>
      <c r="AK27" s="147"/>
      <c r="AL27" s="124"/>
      <c r="AM27" s="148"/>
      <c r="AN27" s="148"/>
      <c r="AO27" s="318"/>
      <c r="AP27" s="319"/>
      <c r="AR27" s="265" t="str">
        <f>IF(G27="","",VLOOKUP(G27,'AUX2'!$C$62:$G$93,2,0))</f>
        <v/>
      </c>
      <c r="AS27" s="265" t="str">
        <f>IF(G27="","",VLOOKUP(G27,'AUX2'!$C$62:$G$93,3,0))</f>
        <v/>
      </c>
      <c r="AT27" s="265" t="str">
        <f>IF(H27="","",VLOOKUP(H27,'AUX2'!$C$98:$D$102,2,0))</f>
        <v/>
      </c>
      <c r="AU27" s="266"/>
      <c r="AV27" s="267">
        <f t="shared" si="2"/>
        <v>0</v>
      </c>
      <c r="AW27" s="268">
        <f>IF(AV27="",0,AV27*'AUX2'!$K$129)</f>
        <v>0</v>
      </c>
      <c r="AX27" s="269">
        <f t="shared" si="3"/>
        <v>0</v>
      </c>
      <c r="AY27" s="270">
        <f>IF(AX27="",0,AX27*'AUX2'!$K$129)</f>
        <v>0</v>
      </c>
      <c r="AZ27" s="271">
        <f t="shared" si="4"/>
        <v>0</v>
      </c>
      <c r="BA27" s="272">
        <f>IF(AZ27="",0,AZ27*'AUX2'!$K$129)</f>
        <v>0</v>
      </c>
      <c r="BB27" s="273">
        <f t="shared" si="5"/>
        <v>0</v>
      </c>
      <c r="BC27" s="274">
        <f>IF(BB27="",0,BB27*'AUX2'!$K$129)</f>
        <v>0</v>
      </c>
      <c r="BD27" s="275"/>
      <c r="BE27" s="276" t="str">
        <f t="shared" si="6"/>
        <v/>
      </c>
      <c r="BF27" s="277" t="str">
        <f>IF(BE27="","",VLOOKUP(T27,'AUX2'!$C$121:$E$125,2,0))</f>
        <v/>
      </c>
      <c r="BG27" s="277" t="str">
        <f t="shared" si="7"/>
        <v/>
      </c>
      <c r="BH27" s="267" t="str">
        <f t="shared" si="8"/>
        <v/>
      </c>
      <c r="BI27" s="278" t="str">
        <f>IF(BE27="","",VLOOKUP(T27,'AUX2'!$C$121:$E$125,3,0))</f>
        <v/>
      </c>
      <c r="BJ27" s="277">
        <f>IF(BE27&lt;=300,'AUX2'!$D$129,IF(AND(BE27&gt;300,BE27&lt;=600),'AUX2'!$D$130,IF(AND(BE27&gt;600,BE27&lt;=900),'AUX2'!$D$131,IF(AND(BE27&gt;900,BE27&lt;=1200),'AUX2'!$D$132,IF(AND(BE27&gt;1200,BE27&lt;=1500),'AUX2'!$D$133,IF(BE27&gt;1500,'AUX2'!$D$134))))))</f>
        <v>0</v>
      </c>
      <c r="BK27" s="277">
        <f t="shared" si="9"/>
        <v>0</v>
      </c>
      <c r="BL27" s="279"/>
      <c r="BM27" s="280" t="str">
        <f t="shared" si="10"/>
        <v/>
      </c>
      <c r="BN27" s="281" t="str">
        <f t="shared" si="11"/>
        <v/>
      </c>
      <c r="BO27" s="269" t="str">
        <f t="shared" si="12"/>
        <v/>
      </c>
      <c r="BP27" s="282" t="str">
        <f>IF(BO27="","",VLOOKUP(AC27,'AUX2'!$C$121:$E$125,2,0))</f>
        <v/>
      </c>
      <c r="BQ27" s="282" t="str">
        <f t="shared" si="13"/>
        <v/>
      </c>
      <c r="BR27" s="269" t="str">
        <f t="shared" si="14"/>
        <v/>
      </c>
      <c r="BS27" s="269" t="str">
        <f t="shared" si="15"/>
        <v/>
      </c>
      <c r="BT27" s="282" t="str">
        <f>IF(BO27="","",VLOOKUP(AC27,'AUX2'!$C$121:$E$125,3,0))</f>
        <v/>
      </c>
      <c r="BU27" s="283">
        <f>IF(BN27&lt;=300,'AUX2'!$D$129,IF(AND(BN27&gt;300,BN27&lt;=600),'AUX2'!$D$130,IF(AND(BN27&gt;600,BN27&lt;=900),'AUX2'!$D$131,IF(AND(BN27&gt;900,BN27&lt;=1200),'AUX2'!$D$132,IF(AND(BN27&gt;1200,BN27&lt;=1500),'AUX2'!$D$133,IF(BN27&gt;1500,'AUX2'!$D$134))))))</f>
        <v>0</v>
      </c>
      <c r="BV27" s="284">
        <f t="shared" si="16"/>
        <v>0</v>
      </c>
      <c r="BW27" s="279"/>
      <c r="BX27" s="285">
        <f t="shared" si="17"/>
        <v>0</v>
      </c>
      <c r="BY27" s="285">
        <f t="shared" si="18"/>
        <v>0</v>
      </c>
      <c r="BZ27" s="285">
        <f>AK27*'AUX2'!$K$137</f>
        <v>0</v>
      </c>
      <c r="CA27" s="285" t="str">
        <f t="shared" si="19"/>
        <v/>
      </c>
      <c r="CB27" s="285" t="str">
        <f>IF(CA27="","",VLOOKUP(AL27,'AUX2'!$C$121:$E$125,2,0))</f>
        <v/>
      </c>
      <c r="CC27" s="285" t="str">
        <f t="shared" si="20"/>
        <v/>
      </c>
      <c r="CD27" s="285" t="str">
        <f t="shared" si="21"/>
        <v/>
      </c>
      <c r="CE27" s="285" t="str">
        <f>IF(CA27="","",VLOOKUP(AL27,'AUX2'!$C$121:$E$125,3,0))</f>
        <v/>
      </c>
      <c r="CF27" s="285">
        <f>IF(CA27&lt;=300,'AUX2'!$D$129,IF(AND(CA27&gt;300,CA27&lt;=600),'AUX2'!$D$130,IF(AND(CA27&gt;600,CA27&lt;=900),'AUX2'!$D$131,IF(AND(CA27&gt;900,CA27&lt;=1200),'AUX2'!$D$132,IF(AND(CA27&gt;1200,CA27&lt;=1500),'AUX2'!$D$133,IF(CA27&gt;1500,'AUX2'!$D$134))))))</f>
        <v>0</v>
      </c>
      <c r="CG27" s="285">
        <f t="shared" si="22"/>
        <v>0</v>
      </c>
      <c r="CI27" s="286">
        <f t="shared" si="23"/>
        <v>0</v>
      </c>
      <c r="CJ27" s="287">
        <f t="shared" si="24"/>
        <v>0</v>
      </c>
      <c r="CK27" s="287">
        <f t="shared" si="25"/>
        <v>0</v>
      </c>
      <c r="CL27" s="287">
        <f t="shared" si="25"/>
        <v>0</v>
      </c>
      <c r="CM27" s="288">
        <f t="shared" si="26"/>
        <v>0</v>
      </c>
      <c r="CN27" s="289">
        <f t="shared" si="27"/>
        <v>0</v>
      </c>
      <c r="CO27" s="290">
        <f t="shared" si="28"/>
        <v>0</v>
      </c>
      <c r="CQ27" s="291" t="str">
        <f t="shared" si="29"/>
        <v/>
      </c>
      <c r="CR27" s="392"/>
    </row>
    <row r="28" spans="2:96" s="264" customFormat="1" ht="15.75" thickBot="1" x14ac:dyDescent="0.3">
      <c r="B28" s="34">
        <v>22</v>
      </c>
      <c r="C28" s="292" t="str">
        <f t="shared" si="1"/>
        <v/>
      </c>
      <c r="D28" s="293"/>
      <c r="E28" s="294"/>
      <c r="F28" s="295"/>
      <c r="G28" s="124"/>
      <c r="H28" s="124"/>
      <c r="I28" s="125"/>
      <c r="J28" s="150"/>
      <c r="K28" s="150"/>
      <c r="L28" s="150"/>
      <c r="M28" s="311"/>
      <c r="N28" s="132"/>
      <c r="O28" s="133"/>
      <c r="P28" s="134"/>
      <c r="Q28" s="133"/>
      <c r="R28" s="312"/>
      <c r="S28" s="313"/>
      <c r="T28" s="124"/>
      <c r="U28" s="314"/>
      <c r="V28" s="150"/>
      <c r="W28" s="314"/>
      <c r="X28" s="150"/>
      <c r="Y28" s="315"/>
      <c r="Z28" s="316"/>
      <c r="AA28" s="314"/>
      <c r="AB28" s="314"/>
      <c r="AC28" s="124"/>
      <c r="AD28" s="81"/>
      <c r="AE28" s="314"/>
      <c r="AF28" s="125"/>
      <c r="AG28" s="125"/>
      <c r="AH28" s="317"/>
      <c r="AI28" s="135"/>
      <c r="AJ28" s="135"/>
      <c r="AK28" s="147"/>
      <c r="AL28" s="124"/>
      <c r="AM28" s="148"/>
      <c r="AN28" s="148"/>
      <c r="AO28" s="318"/>
      <c r="AP28" s="319"/>
      <c r="AR28" s="265" t="str">
        <f>IF(G28="","",VLOOKUP(G28,'AUX2'!$C$62:$G$93,2,0))</f>
        <v/>
      </c>
      <c r="AS28" s="265" t="str">
        <f>IF(G28="","",VLOOKUP(G28,'AUX2'!$C$62:$G$93,3,0))</f>
        <v/>
      </c>
      <c r="AT28" s="265" t="str">
        <f>IF(H28="","",VLOOKUP(H28,'AUX2'!$C$98:$D$102,2,0))</f>
        <v/>
      </c>
      <c r="AU28" s="266"/>
      <c r="AV28" s="267">
        <f t="shared" si="2"/>
        <v>0</v>
      </c>
      <c r="AW28" s="268">
        <f>IF(AV28="",0,AV28*'AUX2'!$K$129)</f>
        <v>0</v>
      </c>
      <c r="AX28" s="269">
        <f t="shared" si="3"/>
        <v>0</v>
      </c>
      <c r="AY28" s="270">
        <f>IF(AX28="",0,AX28*'AUX2'!$K$129)</f>
        <v>0</v>
      </c>
      <c r="AZ28" s="271">
        <f t="shared" si="4"/>
        <v>0</v>
      </c>
      <c r="BA28" s="272">
        <f>IF(AZ28="",0,AZ28*'AUX2'!$K$129)</f>
        <v>0</v>
      </c>
      <c r="BB28" s="273">
        <f t="shared" si="5"/>
        <v>0</v>
      </c>
      <c r="BC28" s="274">
        <f>IF(BB28="",0,BB28*'AUX2'!$K$129)</f>
        <v>0</v>
      </c>
      <c r="BD28" s="275"/>
      <c r="BE28" s="276" t="str">
        <f t="shared" si="6"/>
        <v/>
      </c>
      <c r="BF28" s="277" t="str">
        <f>IF(BE28="","",VLOOKUP(T28,'AUX2'!$C$121:$E$125,2,0))</f>
        <v/>
      </c>
      <c r="BG28" s="277" t="str">
        <f t="shared" si="7"/>
        <v/>
      </c>
      <c r="BH28" s="267" t="str">
        <f t="shared" si="8"/>
        <v/>
      </c>
      <c r="BI28" s="278" t="str">
        <f>IF(BE28="","",VLOOKUP(T28,'AUX2'!$C$121:$E$125,3,0))</f>
        <v/>
      </c>
      <c r="BJ28" s="277">
        <f>IF(BE28&lt;=300,'AUX2'!$D$129,IF(AND(BE28&gt;300,BE28&lt;=600),'AUX2'!$D$130,IF(AND(BE28&gt;600,BE28&lt;=900),'AUX2'!$D$131,IF(AND(BE28&gt;900,BE28&lt;=1200),'AUX2'!$D$132,IF(AND(BE28&gt;1200,BE28&lt;=1500),'AUX2'!$D$133,IF(BE28&gt;1500,'AUX2'!$D$134))))))</f>
        <v>0</v>
      </c>
      <c r="BK28" s="277">
        <f t="shared" si="9"/>
        <v>0</v>
      </c>
      <c r="BL28" s="279"/>
      <c r="BM28" s="280" t="str">
        <f t="shared" si="10"/>
        <v/>
      </c>
      <c r="BN28" s="281" t="str">
        <f t="shared" si="11"/>
        <v/>
      </c>
      <c r="BO28" s="269" t="str">
        <f t="shared" si="12"/>
        <v/>
      </c>
      <c r="BP28" s="282" t="str">
        <f>IF(BO28="","",VLOOKUP(AC28,'AUX2'!$C$121:$E$125,2,0))</f>
        <v/>
      </c>
      <c r="BQ28" s="282" t="str">
        <f t="shared" si="13"/>
        <v/>
      </c>
      <c r="BR28" s="269" t="str">
        <f t="shared" si="14"/>
        <v/>
      </c>
      <c r="BS28" s="269" t="str">
        <f t="shared" si="15"/>
        <v/>
      </c>
      <c r="BT28" s="282" t="str">
        <f>IF(BO28="","",VLOOKUP(AC28,'AUX2'!$C$121:$E$125,3,0))</f>
        <v/>
      </c>
      <c r="BU28" s="283">
        <f>IF(BN28&lt;=300,'AUX2'!$D$129,IF(AND(BN28&gt;300,BN28&lt;=600),'AUX2'!$D$130,IF(AND(BN28&gt;600,BN28&lt;=900),'AUX2'!$D$131,IF(AND(BN28&gt;900,BN28&lt;=1200),'AUX2'!$D$132,IF(AND(BN28&gt;1200,BN28&lt;=1500),'AUX2'!$D$133,IF(BN28&gt;1500,'AUX2'!$D$134))))))</f>
        <v>0</v>
      </c>
      <c r="BV28" s="284">
        <f t="shared" si="16"/>
        <v>0</v>
      </c>
      <c r="BW28" s="279"/>
      <c r="BX28" s="285">
        <f t="shared" si="17"/>
        <v>0</v>
      </c>
      <c r="BY28" s="285">
        <f t="shared" si="18"/>
        <v>0</v>
      </c>
      <c r="BZ28" s="285">
        <f>AK28*'AUX2'!$K$137</f>
        <v>0</v>
      </c>
      <c r="CA28" s="285" t="str">
        <f t="shared" si="19"/>
        <v/>
      </c>
      <c r="CB28" s="285" t="str">
        <f>IF(CA28="","",VLOOKUP(AL28,'AUX2'!$C$121:$E$125,2,0))</f>
        <v/>
      </c>
      <c r="CC28" s="285" t="str">
        <f t="shared" si="20"/>
        <v/>
      </c>
      <c r="CD28" s="285" t="str">
        <f t="shared" si="21"/>
        <v/>
      </c>
      <c r="CE28" s="285" t="str">
        <f>IF(CA28="","",VLOOKUP(AL28,'AUX2'!$C$121:$E$125,3,0))</f>
        <v/>
      </c>
      <c r="CF28" s="285">
        <f>IF(CA28&lt;=300,'AUX2'!$D$129,IF(AND(CA28&gt;300,CA28&lt;=600),'AUX2'!$D$130,IF(AND(CA28&gt;600,CA28&lt;=900),'AUX2'!$D$131,IF(AND(CA28&gt;900,CA28&lt;=1200),'AUX2'!$D$132,IF(AND(CA28&gt;1200,CA28&lt;=1500),'AUX2'!$D$133,IF(CA28&gt;1500,'AUX2'!$D$134))))))</f>
        <v>0</v>
      </c>
      <c r="CG28" s="285">
        <f t="shared" si="22"/>
        <v>0</v>
      </c>
      <c r="CI28" s="286">
        <f t="shared" si="23"/>
        <v>0</v>
      </c>
      <c r="CJ28" s="287">
        <f t="shared" si="24"/>
        <v>0</v>
      </c>
      <c r="CK28" s="287">
        <f t="shared" si="25"/>
        <v>0</v>
      </c>
      <c r="CL28" s="287">
        <f t="shared" si="25"/>
        <v>0</v>
      </c>
      <c r="CM28" s="288">
        <f t="shared" si="26"/>
        <v>0</v>
      </c>
      <c r="CN28" s="289">
        <f t="shared" si="27"/>
        <v>0</v>
      </c>
      <c r="CO28" s="290">
        <f t="shared" si="28"/>
        <v>0</v>
      </c>
      <c r="CQ28" s="291" t="str">
        <f t="shared" si="29"/>
        <v/>
      </c>
      <c r="CR28" s="392"/>
    </row>
    <row r="29" spans="2:96" s="264" customFormat="1" ht="15.75" thickBot="1" x14ac:dyDescent="0.3">
      <c r="B29" s="34">
        <v>23</v>
      </c>
      <c r="C29" s="292" t="str">
        <f t="shared" si="1"/>
        <v/>
      </c>
      <c r="D29" s="293"/>
      <c r="E29" s="294"/>
      <c r="F29" s="295"/>
      <c r="G29" s="124"/>
      <c r="H29" s="124"/>
      <c r="I29" s="125"/>
      <c r="J29" s="150"/>
      <c r="K29" s="150"/>
      <c r="L29" s="150"/>
      <c r="M29" s="311"/>
      <c r="N29" s="132"/>
      <c r="O29" s="133"/>
      <c r="P29" s="134"/>
      <c r="Q29" s="133"/>
      <c r="R29" s="312"/>
      <c r="S29" s="313"/>
      <c r="T29" s="124"/>
      <c r="U29" s="314"/>
      <c r="V29" s="150"/>
      <c r="W29" s="314"/>
      <c r="X29" s="150"/>
      <c r="Y29" s="315"/>
      <c r="Z29" s="316"/>
      <c r="AA29" s="314"/>
      <c r="AB29" s="314"/>
      <c r="AC29" s="124"/>
      <c r="AD29" s="81"/>
      <c r="AE29" s="314"/>
      <c r="AF29" s="125"/>
      <c r="AG29" s="125"/>
      <c r="AH29" s="317"/>
      <c r="AI29" s="135"/>
      <c r="AJ29" s="135"/>
      <c r="AK29" s="147"/>
      <c r="AL29" s="124"/>
      <c r="AM29" s="148"/>
      <c r="AN29" s="148"/>
      <c r="AO29" s="318"/>
      <c r="AP29" s="319"/>
      <c r="AR29" s="265" t="str">
        <f>IF(G29="","",VLOOKUP(G29,'AUX2'!$C$62:$G$93,2,0))</f>
        <v/>
      </c>
      <c r="AS29" s="265" t="str">
        <f>IF(G29="","",VLOOKUP(G29,'AUX2'!$C$62:$G$93,3,0))</f>
        <v/>
      </c>
      <c r="AT29" s="265" t="str">
        <f>IF(H29="","",VLOOKUP(H29,'AUX2'!$C$98:$D$102,2,0))</f>
        <v/>
      </c>
      <c r="AU29" s="266"/>
      <c r="AV29" s="267">
        <f t="shared" si="2"/>
        <v>0</v>
      </c>
      <c r="AW29" s="268">
        <f>IF(AV29="",0,AV29*'AUX2'!$K$129)</f>
        <v>0</v>
      </c>
      <c r="AX29" s="269">
        <f t="shared" si="3"/>
        <v>0</v>
      </c>
      <c r="AY29" s="270">
        <f>IF(AX29="",0,AX29*'AUX2'!$K$129)</f>
        <v>0</v>
      </c>
      <c r="AZ29" s="271">
        <f t="shared" si="4"/>
        <v>0</v>
      </c>
      <c r="BA29" s="272">
        <f>IF(AZ29="",0,AZ29*'AUX2'!$K$129)</f>
        <v>0</v>
      </c>
      <c r="BB29" s="273">
        <f t="shared" si="5"/>
        <v>0</v>
      </c>
      <c r="BC29" s="274">
        <f>IF(BB29="",0,BB29*'AUX2'!$K$129)</f>
        <v>0</v>
      </c>
      <c r="BD29" s="275"/>
      <c r="BE29" s="276" t="str">
        <f t="shared" si="6"/>
        <v/>
      </c>
      <c r="BF29" s="277" t="str">
        <f>IF(BE29="","",VLOOKUP(T29,'AUX2'!$C$121:$E$125,2,0))</f>
        <v/>
      </c>
      <c r="BG29" s="277" t="str">
        <f t="shared" si="7"/>
        <v/>
      </c>
      <c r="BH29" s="267" t="str">
        <f t="shared" si="8"/>
        <v/>
      </c>
      <c r="BI29" s="278" t="str">
        <f>IF(BE29="","",VLOOKUP(T29,'AUX2'!$C$121:$E$125,3,0))</f>
        <v/>
      </c>
      <c r="BJ29" s="277">
        <f>IF(BE29&lt;=300,'AUX2'!$D$129,IF(AND(BE29&gt;300,BE29&lt;=600),'AUX2'!$D$130,IF(AND(BE29&gt;600,BE29&lt;=900),'AUX2'!$D$131,IF(AND(BE29&gt;900,BE29&lt;=1200),'AUX2'!$D$132,IF(AND(BE29&gt;1200,BE29&lt;=1500),'AUX2'!$D$133,IF(BE29&gt;1500,'AUX2'!$D$134))))))</f>
        <v>0</v>
      </c>
      <c r="BK29" s="277">
        <f t="shared" si="9"/>
        <v>0</v>
      </c>
      <c r="BL29" s="279"/>
      <c r="BM29" s="280" t="str">
        <f t="shared" si="10"/>
        <v/>
      </c>
      <c r="BN29" s="281" t="str">
        <f t="shared" si="11"/>
        <v/>
      </c>
      <c r="BO29" s="269" t="str">
        <f t="shared" si="12"/>
        <v/>
      </c>
      <c r="BP29" s="282" t="str">
        <f>IF(BO29="","",VLOOKUP(AC29,'AUX2'!$C$121:$E$125,2,0))</f>
        <v/>
      </c>
      <c r="BQ29" s="282" t="str">
        <f t="shared" si="13"/>
        <v/>
      </c>
      <c r="BR29" s="269" t="str">
        <f t="shared" si="14"/>
        <v/>
      </c>
      <c r="BS29" s="269" t="str">
        <f t="shared" si="15"/>
        <v/>
      </c>
      <c r="BT29" s="282" t="str">
        <f>IF(BO29="","",VLOOKUP(AC29,'AUX2'!$C$121:$E$125,3,0))</f>
        <v/>
      </c>
      <c r="BU29" s="283">
        <f>IF(BN29&lt;=300,'AUX2'!$D$129,IF(AND(BN29&gt;300,BN29&lt;=600),'AUX2'!$D$130,IF(AND(BN29&gt;600,BN29&lt;=900),'AUX2'!$D$131,IF(AND(BN29&gt;900,BN29&lt;=1200),'AUX2'!$D$132,IF(AND(BN29&gt;1200,BN29&lt;=1500),'AUX2'!$D$133,IF(BN29&gt;1500,'AUX2'!$D$134))))))</f>
        <v>0</v>
      </c>
      <c r="BV29" s="284">
        <f t="shared" si="16"/>
        <v>0</v>
      </c>
      <c r="BW29" s="279"/>
      <c r="BX29" s="285">
        <f t="shared" si="17"/>
        <v>0</v>
      </c>
      <c r="BY29" s="285">
        <f t="shared" si="18"/>
        <v>0</v>
      </c>
      <c r="BZ29" s="285">
        <f>AK29*'AUX2'!$K$137</f>
        <v>0</v>
      </c>
      <c r="CA29" s="285" t="str">
        <f t="shared" si="19"/>
        <v/>
      </c>
      <c r="CB29" s="285" t="str">
        <f>IF(CA29="","",VLOOKUP(AL29,'AUX2'!$C$121:$E$125,2,0))</f>
        <v/>
      </c>
      <c r="CC29" s="285" t="str">
        <f t="shared" si="20"/>
        <v/>
      </c>
      <c r="CD29" s="285" t="str">
        <f t="shared" si="21"/>
        <v/>
      </c>
      <c r="CE29" s="285" t="str">
        <f>IF(CA29="","",VLOOKUP(AL29,'AUX2'!$C$121:$E$125,3,0))</f>
        <v/>
      </c>
      <c r="CF29" s="285">
        <f>IF(CA29&lt;=300,'AUX2'!$D$129,IF(AND(CA29&gt;300,CA29&lt;=600),'AUX2'!$D$130,IF(AND(CA29&gt;600,CA29&lt;=900),'AUX2'!$D$131,IF(AND(CA29&gt;900,CA29&lt;=1200),'AUX2'!$D$132,IF(AND(CA29&gt;1200,CA29&lt;=1500),'AUX2'!$D$133,IF(CA29&gt;1500,'AUX2'!$D$134))))))</f>
        <v>0</v>
      </c>
      <c r="CG29" s="285">
        <f t="shared" si="22"/>
        <v>0</v>
      </c>
      <c r="CI29" s="286">
        <f t="shared" si="23"/>
        <v>0</v>
      </c>
      <c r="CJ29" s="287">
        <f t="shared" si="24"/>
        <v>0</v>
      </c>
      <c r="CK29" s="287">
        <f t="shared" si="25"/>
        <v>0</v>
      </c>
      <c r="CL29" s="287">
        <f t="shared" si="25"/>
        <v>0</v>
      </c>
      <c r="CM29" s="288">
        <f t="shared" si="26"/>
        <v>0</v>
      </c>
      <c r="CN29" s="289">
        <f t="shared" si="27"/>
        <v>0</v>
      </c>
      <c r="CO29" s="290">
        <f t="shared" si="28"/>
        <v>0</v>
      </c>
      <c r="CQ29" s="291" t="str">
        <f t="shared" si="29"/>
        <v/>
      </c>
      <c r="CR29" s="392"/>
    </row>
    <row r="30" spans="2:96" s="264" customFormat="1" ht="15.75" thickBot="1" x14ac:dyDescent="0.3">
      <c r="B30" s="34">
        <v>24</v>
      </c>
      <c r="C30" s="292" t="str">
        <f t="shared" si="1"/>
        <v/>
      </c>
      <c r="D30" s="293"/>
      <c r="E30" s="294"/>
      <c r="F30" s="295"/>
      <c r="G30" s="124"/>
      <c r="H30" s="124"/>
      <c r="I30" s="125"/>
      <c r="J30" s="150"/>
      <c r="K30" s="150"/>
      <c r="L30" s="150"/>
      <c r="M30" s="311"/>
      <c r="N30" s="132"/>
      <c r="O30" s="133"/>
      <c r="P30" s="134"/>
      <c r="Q30" s="133"/>
      <c r="R30" s="312"/>
      <c r="S30" s="313"/>
      <c r="T30" s="124"/>
      <c r="U30" s="314"/>
      <c r="V30" s="150"/>
      <c r="W30" s="314"/>
      <c r="X30" s="150"/>
      <c r="Y30" s="315"/>
      <c r="Z30" s="316"/>
      <c r="AA30" s="314"/>
      <c r="AB30" s="314"/>
      <c r="AC30" s="124"/>
      <c r="AD30" s="81"/>
      <c r="AE30" s="314"/>
      <c r="AF30" s="125"/>
      <c r="AG30" s="125"/>
      <c r="AH30" s="317"/>
      <c r="AI30" s="135"/>
      <c r="AJ30" s="135"/>
      <c r="AK30" s="147"/>
      <c r="AL30" s="124"/>
      <c r="AM30" s="148"/>
      <c r="AN30" s="148"/>
      <c r="AO30" s="318"/>
      <c r="AP30" s="319"/>
      <c r="AR30" s="265" t="str">
        <f>IF(G30="","",VLOOKUP(G30,'AUX2'!$C$62:$G$93,2,0))</f>
        <v/>
      </c>
      <c r="AS30" s="265" t="str">
        <f>IF(G30="","",VLOOKUP(G30,'AUX2'!$C$62:$G$93,3,0))</f>
        <v/>
      </c>
      <c r="AT30" s="265" t="str">
        <f>IF(H30="","",VLOOKUP(H30,'AUX2'!$C$98:$D$102,2,0))</f>
        <v/>
      </c>
      <c r="AU30" s="266"/>
      <c r="AV30" s="267">
        <f t="shared" si="2"/>
        <v>0</v>
      </c>
      <c r="AW30" s="268">
        <f>IF(AV30="",0,AV30*'AUX2'!$K$129)</f>
        <v>0</v>
      </c>
      <c r="AX30" s="269">
        <f t="shared" si="3"/>
        <v>0</v>
      </c>
      <c r="AY30" s="270">
        <f>IF(AX30="",0,AX30*'AUX2'!$K$129)</f>
        <v>0</v>
      </c>
      <c r="AZ30" s="271">
        <f t="shared" si="4"/>
        <v>0</v>
      </c>
      <c r="BA30" s="272">
        <f>IF(AZ30="",0,AZ30*'AUX2'!$K$129)</f>
        <v>0</v>
      </c>
      <c r="BB30" s="273">
        <f t="shared" si="5"/>
        <v>0</v>
      </c>
      <c r="BC30" s="274">
        <f>IF(BB30="",0,BB30*'AUX2'!$K$129)</f>
        <v>0</v>
      </c>
      <c r="BD30" s="275"/>
      <c r="BE30" s="276" t="str">
        <f t="shared" si="6"/>
        <v/>
      </c>
      <c r="BF30" s="277" t="str">
        <f>IF(BE30="","",VLOOKUP(T30,'AUX2'!$C$121:$E$125,2,0))</f>
        <v/>
      </c>
      <c r="BG30" s="277" t="str">
        <f t="shared" si="7"/>
        <v/>
      </c>
      <c r="BH30" s="267" t="str">
        <f t="shared" si="8"/>
        <v/>
      </c>
      <c r="BI30" s="278" t="str">
        <f>IF(BE30="","",VLOOKUP(T30,'AUX2'!$C$121:$E$125,3,0))</f>
        <v/>
      </c>
      <c r="BJ30" s="277">
        <f>IF(BE30&lt;=300,'AUX2'!$D$129,IF(AND(BE30&gt;300,BE30&lt;=600),'AUX2'!$D$130,IF(AND(BE30&gt;600,BE30&lt;=900),'AUX2'!$D$131,IF(AND(BE30&gt;900,BE30&lt;=1200),'AUX2'!$D$132,IF(AND(BE30&gt;1200,BE30&lt;=1500),'AUX2'!$D$133,IF(BE30&gt;1500,'AUX2'!$D$134))))))</f>
        <v>0</v>
      </c>
      <c r="BK30" s="277">
        <f t="shared" si="9"/>
        <v>0</v>
      </c>
      <c r="BL30" s="279"/>
      <c r="BM30" s="280" t="str">
        <f t="shared" si="10"/>
        <v/>
      </c>
      <c r="BN30" s="281" t="str">
        <f t="shared" si="11"/>
        <v/>
      </c>
      <c r="BO30" s="269" t="str">
        <f t="shared" si="12"/>
        <v/>
      </c>
      <c r="BP30" s="282" t="str">
        <f>IF(BO30="","",VLOOKUP(AC30,'AUX2'!$C$121:$E$125,2,0))</f>
        <v/>
      </c>
      <c r="BQ30" s="282" t="str">
        <f t="shared" si="13"/>
        <v/>
      </c>
      <c r="BR30" s="269" t="str">
        <f t="shared" si="14"/>
        <v/>
      </c>
      <c r="BS30" s="269" t="str">
        <f t="shared" si="15"/>
        <v/>
      </c>
      <c r="BT30" s="282" t="str">
        <f>IF(BO30="","",VLOOKUP(AC30,'AUX2'!$C$121:$E$125,3,0))</f>
        <v/>
      </c>
      <c r="BU30" s="283">
        <f>IF(BN30&lt;=300,'AUX2'!$D$129,IF(AND(BN30&gt;300,BN30&lt;=600),'AUX2'!$D$130,IF(AND(BN30&gt;600,BN30&lt;=900),'AUX2'!$D$131,IF(AND(BN30&gt;900,BN30&lt;=1200),'AUX2'!$D$132,IF(AND(BN30&gt;1200,BN30&lt;=1500),'AUX2'!$D$133,IF(BN30&gt;1500,'AUX2'!$D$134))))))</f>
        <v>0</v>
      </c>
      <c r="BV30" s="284">
        <f t="shared" si="16"/>
        <v>0</v>
      </c>
      <c r="BW30" s="279"/>
      <c r="BX30" s="285">
        <f t="shared" si="17"/>
        <v>0</v>
      </c>
      <c r="BY30" s="285">
        <f t="shared" si="18"/>
        <v>0</v>
      </c>
      <c r="BZ30" s="285">
        <f>AK30*'AUX2'!$K$137</f>
        <v>0</v>
      </c>
      <c r="CA30" s="285" t="str">
        <f t="shared" si="19"/>
        <v/>
      </c>
      <c r="CB30" s="285" t="str">
        <f>IF(CA30="","",VLOOKUP(AL30,'AUX2'!$C$121:$E$125,2,0))</f>
        <v/>
      </c>
      <c r="CC30" s="285" t="str">
        <f t="shared" si="20"/>
        <v/>
      </c>
      <c r="CD30" s="285" t="str">
        <f t="shared" si="21"/>
        <v/>
      </c>
      <c r="CE30" s="285" t="str">
        <f>IF(CA30="","",VLOOKUP(AL30,'AUX2'!$C$121:$E$125,3,0))</f>
        <v/>
      </c>
      <c r="CF30" s="285">
        <f>IF(CA30&lt;=300,'AUX2'!$D$129,IF(AND(CA30&gt;300,CA30&lt;=600),'AUX2'!$D$130,IF(AND(CA30&gt;600,CA30&lt;=900),'AUX2'!$D$131,IF(AND(CA30&gt;900,CA30&lt;=1200),'AUX2'!$D$132,IF(AND(CA30&gt;1200,CA30&lt;=1500),'AUX2'!$D$133,IF(CA30&gt;1500,'AUX2'!$D$134))))))</f>
        <v>0</v>
      </c>
      <c r="CG30" s="285">
        <f t="shared" si="22"/>
        <v>0</v>
      </c>
      <c r="CI30" s="286">
        <f t="shared" si="23"/>
        <v>0</v>
      </c>
      <c r="CJ30" s="287">
        <f t="shared" si="24"/>
        <v>0</v>
      </c>
      <c r="CK30" s="287">
        <f t="shared" si="25"/>
        <v>0</v>
      </c>
      <c r="CL30" s="287">
        <f t="shared" si="25"/>
        <v>0</v>
      </c>
      <c r="CM30" s="288">
        <f t="shared" si="26"/>
        <v>0</v>
      </c>
      <c r="CN30" s="289">
        <f t="shared" si="27"/>
        <v>0</v>
      </c>
      <c r="CO30" s="290">
        <f t="shared" si="28"/>
        <v>0</v>
      </c>
      <c r="CQ30" s="291" t="str">
        <f t="shared" si="29"/>
        <v/>
      </c>
      <c r="CR30" s="392"/>
    </row>
    <row r="31" spans="2:96" s="264" customFormat="1" ht="15.75" thickBot="1" x14ac:dyDescent="0.3">
      <c r="B31" s="34">
        <v>25</v>
      </c>
      <c r="C31" s="292" t="str">
        <f t="shared" si="1"/>
        <v/>
      </c>
      <c r="D31" s="293"/>
      <c r="E31" s="294"/>
      <c r="F31" s="295"/>
      <c r="G31" s="124"/>
      <c r="H31" s="124"/>
      <c r="I31" s="125"/>
      <c r="J31" s="150"/>
      <c r="K31" s="150"/>
      <c r="L31" s="150"/>
      <c r="M31" s="311"/>
      <c r="N31" s="132"/>
      <c r="O31" s="133"/>
      <c r="P31" s="134"/>
      <c r="Q31" s="133"/>
      <c r="R31" s="312"/>
      <c r="S31" s="313"/>
      <c r="T31" s="124"/>
      <c r="U31" s="314"/>
      <c r="V31" s="150"/>
      <c r="W31" s="314"/>
      <c r="X31" s="150"/>
      <c r="Y31" s="315"/>
      <c r="Z31" s="316"/>
      <c r="AA31" s="314"/>
      <c r="AB31" s="314"/>
      <c r="AC31" s="124"/>
      <c r="AD31" s="81"/>
      <c r="AE31" s="314"/>
      <c r="AF31" s="125"/>
      <c r="AG31" s="125"/>
      <c r="AH31" s="317"/>
      <c r="AI31" s="135"/>
      <c r="AJ31" s="135"/>
      <c r="AK31" s="147"/>
      <c r="AL31" s="124"/>
      <c r="AM31" s="148"/>
      <c r="AN31" s="148"/>
      <c r="AO31" s="318"/>
      <c r="AP31" s="319"/>
      <c r="AR31" s="265" t="str">
        <f>IF(G31="","",VLOOKUP(G31,'AUX2'!$C$62:$G$93,2,0))</f>
        <v/>
      </c>
      <c r="AS31" s="265" t="str">
        <f>IF(G31="","",VLOOKUP(G31,'AUX2'!$C$62:$G$93,3,0))</f>
        <v/>
      </c>
      <c r="AT31" s="265" t="str">
        <f>IF(H31="","",VLOOKUP(H31,'AUX2'!$C$98:$D$102,2,0))</f>
        <v/>
      </c>
      <c r="AU31" s="266"/>
      <c r="AV31" s="267">
        <f t="shared" si="2"/>
        <v>0</v>
      </c>
      <c r="AW31" s="268">
        <f>IF(AV31="",0,AV31*'AUX2'!$K$129)</f>
        <v>0</v>
      </c>
      <c r="AX31" s="269">
        <f t="shared" si="3"/>
        <v>0</v>
      </c>
      <c r="AY31" s="270">
        <f>IF(AX31="",0,AX31*'AUX2'!$K$129)</f>
        <v>0</v>
      </c>
      <c r="AZ31" s="271">
        <f t="shared" si="4"/>
        <v>0</v>
      </c>
      <c r="BA31" s="272">
        <f>IF(AZ31="",0,AZ31*'AUX2'!$K$129)</f>
        <v>0</v>
      </c>
      <c r="BB31" s="273">
        <f t="shared" si="5"/>
        <v>0</v>
      </c>
      <c r="BC31" s="274">
        <f>IF(BB31="",0,BB31*'AUX2'!$K$129)</f>
        <v>0</v>
      </c>
      <c r="BD31" s="275"/>
      <c r="BE31" s="276" t="str">
        <f t="shared" si="6"/>
        <v/>
      </c>
      <c r="BF31" s="277" t="str">
        <f>IF(BE31="","",VLOOKUP(T31,'AUX2'!$C$121:$E$125,2,0))</f>
        <v/>
      </c>
      <c r="BG31" s="277" t="str">
        <f t="shared" si="7"/>
        <v/>
      </c>
      <c r="BH31" s="267" t="str">
        <f t="shared" si="8"/>
        <v/>
      </c>
      <c r="BI31" s="278" t="str">
        <f>IF(BE31="","",VLOOKUP(T31,'AUX2'!$C$121:$E$125,3,0))</f>
        <v/>
      </c>
      <c r="BJ31" s="277">
        <f>IF(BE31&lt;=300,'AUX2'!$D$129,IF(AND(BE31&gt;300,BE31&lt;=600),'AUX2'!$D$130,IF(AND(BE31&gt;600,BE31&lt;=900),'AUX2'!$D$131,IF(AND(BE31&gt;900,BE31&lt;=1200),'AUX2'!$D$132,IF(AND(BE31&gt;1200,BE31&lt;=1500),'AUX2'!$D$133,IF(BE31&gt;1500,'AUX2'!$D$134))))))</f>
        <v>0</v>
      </c>
      <c r="BK31" s="277">
        <f t="shared" si="9"/>
        <v>0</v>
      </c>
      <c r="BL31" s="279"/>
      <c r="BM31" s="280" t="str">
        <f t="shared" si="10"/>
        <v/>
      </c>
      <c r="BN31" s="281" t="str">
        <f t="shared" si="11"/>
        <v/>
      </c>
      <c r="BO31" s="269" t="str">
        <f t="shared" si="12"/>
        <v/>
      </c>
      <c r="BP31" s="282" t="str">
        <f>IF(BO31="","",VLOOKUP(AC31,'AUX2'!$C$121:$E$125,2,0))</f>
        <v/>
      </c>
      <c r="BQ31" s="282" t="str">
        <f t="shared" si="13"/>
        <v/>
      </c>
      <c r="BR31" s="269" t="str">
        <f t="shared" si="14"/>
        <v/>
      </c>
      <c r="BS31" s="269" t="str">
        <f t="shared" si="15"/>
        <v/>
      </c>
      <c r="BT31" s="282" t="str">
        <f>IF(BO31="","",VLOOKUP(AC31,'AUX2'!$C$121:$E$125,3,0))</f>
        <v/>
      </c>
      <c r="BU31" s="283">
        <f>IF(BN31&lt;=300,'AUX2'!$D$129,IF(AND(BN31&gt;300,BN31&lt;=600),'AUX2'!$D$130,IF(AND(BN31&gt;600,BN31&lt;=900),'AUX2'!$D$131,IF(AND(BN31&gt;900,BN31&lt;=1200),'AUX2'!$D$132,IF(AND(BN31&gt;1200,BN31&lt;=1500),'AUX2'!$D$133,IF(BN31&gt;1500,'AUX2'!$D$134))))))</f>
        <v>0</v>
      </c>
      <c r="BV31" s="284">
        <f t="shared" si="16"/>
        <v>0</v>
      </c>
      <c r="BW31" s="279"/>
      <c r="BX31" s="285">
        <f t="shared" si="17"/>
        <v>0</v>
      </c>
      <c r="BY31" s="285">
        <f t="shared" si="18"/>
        <v>0</v>
      </c>
      <c r="BZ31" s="285">
        <f>AK31*'AUX2'!$K$137</f>
        <v>0</v>
      </c>
      <c r="CA31" s="285" t="str">
        <f t="shared" si="19"/>
        <v/>
      </c>
      <c r="CB31" s="285" t="str">
        <f>IF(CA31="","",VLOOKUP(AL31,'AUX2'!$C$121:$E$125,2,0))</f>
        <v/>
      </c>
      <c r="CC31" s="285" t="str">
        <f t="shared" si="20"/>
        <v/>
      </c>
      <c r="CD31" s="285" t="str">
        <f t="shared" si="21"/>
        <v/>
      </c>
      <c r="CE31" s="285" t="str">
        <f>IF(CA31="","",VLOOKUP(AL31,'AUX2'!$C$121:$E$125,3,0))</f>
        <v/>
      </c>
      <c r="CF31" s="285">
        <f>IF(CA31&lt;=300,'AUX2'!$D$129,IF(AND(CA31&gt;300,CA31&lt;=600),'AUX2'!$D$130,IF(AND(CA31&gt;600,CA31&lt;=900),'AUX2'!$D$131,IF(AND(CA31&gt;900,CA31&lt;=1200),'AUX2'!$D$132,IF(AND(CA31&gt;1200,CA31&lt;=1500),'AUX2'!$D$133,IF(CA31&gt;1500,'AUX2'!$D$134))))))</f>
        <v>0</v>
      </c>
      <c r="CG31" s="285">
        <f t="shared" si="22"/>
        <v>0</v>
      </c>
      <c r="CI31" s="286">
        <f t="shared" si="23"/>
        <v>0</v>
      </c>
      <c r="CJ31" s="287">
        <f t="shared" si="24"/>
        <v>0</v>
      </c>
      <c r="CK31" s="287">
        <f t="shared" si="25"/>
        <v>0</v>
      </c>
      <c r="CL31" s="287">
        <f t="shared" si="25"/>
        <v>0</v>
      </c>
      <c r="CM31" s="288">
        <f t="shared" si="26"/>
        <v>0</v>
      </c>
      <c r="CN31" s="289">
        <f t="shared" si="27"/>
        <v>0</v>
      </c>
      <c r="CO31" s="290">
        <f t="shared" si="28"/>
        <v>0</v>
      </c>
      <c r="CQ31" s="291" t="str">
        <f t="shared" si="29"/>
        <v/>
      </c>
      <c r="CR31" s="392"/>
    </row>
    <row r="32" spans="2:96" s="264" customFormat="1" ht="15.75" thickBot="1" x14ac:dyDescent="0.3">
      <c r="B32" s="34">
        <v>26</v>
      </c>
      <c r="C32" s="292" t="str">
        <f t="shared" si="1"/>
        <v/>
      </c>
      <c r="D32" s="293"/>
      <c r="E32" s="294"/>
      <c r="F32" s="295"/>
      <c r="G32" s="124"/>
      <c r="H32" s="124"/>
      <c r="I32" s="125"/>
      <c r="J32" s="150"/>
      <c r="K32" s="150"/>
      <c r="L32" s="150"/>
      <c r="M32" s="311"/>
      <c r="N32" s="132"/>
      <c r="O32" s="133"/>
      <c r="P32" s="134"/>
      <c r="Q32" s="133"/>
      <c r="R32" s="312"/>
      <c r="S32" s="313"/>
      <c r="T32" s="124"/>
      <c r="U32" s="314"/>
      <c r="V32" s="150"/>
      <c r="W32" s="314"/>
      <c r="X32" s="150"/>
      <c r="Y32" s="315"/>
      <c r="Z32" s="316"/>
      <c r="AA32" s="314"/>
      <c r="AB32" s="314"/>
      <c r="AC32" s="124"/>
      <c r="AD32" s="81"/>
      <c r="AE32" s="314"/>
      <c r="AF32" s="125"/>
      <c r="AG32" s="125"/>
      <c r="AH32" s="317"/>
      <c r="AI32" s="135"/>
      <c r="AJ32" s="135"/>
      <c r="AK32" s="147"/>
      <c r="AL32" s="124"/>
      <c r="AM32" s="148"/>
      <c r="AN32" s="148"/>
      <c r="AO32" s="318"/>
      <c r="AP32" s="319"/>
      <c r="AR32" s="265" t="str">
        <f>IF(G32="","",VLOOKUP(G32,'AUX2'!$C$62:$G$93,2,0))</f>
        <v/>
      </c>
      <c r="AS32" s="265" t="str">
        <f>IF(G32="","",VLOOKUP(G32,'AUX2'!$C$62:$G$93,3,0))</f>
        <v/>
      </c>
      <c r="AT32" s="265" t="str">
        <f>IF(H32="","",VLOOKUP(H32,'AUX2'!$C$98:$D$102,2,0))</f>
        <v/>
      </c>
      <c r="AU32" s="266"/>
      <c r="AV32" s="267">
        <f t="shared" si="2"/>
        <v>0</v>
      </c>
      <c r="AW32" s="268">
        <f>IF(AV32="",0,AV32*'AUX2'!$K$129)</f>
        <v>0</v>
      </c>
      <c r="AX32" s="269">
        <f t="shared" si="3"/>
        <v>0</v>
      </c>
      <c r="AY32" s="270">
        <f>IF(AX32="",0,AX32*'AUX2'!$K$129)</f>
        <v>0</v>
      </c>
      <c r="AZ32" s="271">
        <f t="shared" si="4"/>
        <v>0</v>
      </c>
      <c r="BA32" s="272">
        <f>IF(AZ32="",0,AZ32*'AUX2'!$K$129)</f>
        <v>0</v>
      </c>
      <c r="BB32" s="273">
        <f t="shared" si="5"/>
        <v>0</v>
      </c>
      <c r="BC32" s="274">
        <f>IF(BB32="",0,BB32*'AUX2'!$K$129)</f>
        <v>0</v>
      </c>
      <c r="BD32" s="275"/>
      <c r="BE32" s="276" t="str">
        <f t="shared" si="6"/>
        <v/>
      </c>
      <c r="BF32" s="277" t="str">
        <f>IF(BE32="","",VLOOKUP(T32,'AUX2'!$C$121:$E$125,2,0))</f>
        <v/>
      </c>
      <c r="BG32" s="277" t="str">
        <f t="shared" si="7"/>
        <v/>
      </c>
      <c r="BH32" s="267" t="str">
        <f t="shared" si="8"/>
        <v/>
      </c>
      <c r="BI32" s="278" t="str">
        <f>IF(BE32="","",VLOOKUP(T32,'AUX2'!$C$121:$E$125,3,0))</f>
        <v/>
      </c>
      <c r="BJ32" s="277">
        <f>IF(BE32&lt;=300,'AUX2'!$D$129,IF(AND(BE32&gt;300,BE32&lt;=600),'AUX2'!$D$130,IF(AND(BE32&gt;600,BE32&lt;=900),'AUX2'!$D$131,IF(AND(BE32&gt;900,BE32&lt;=1200),'AUX2'!$D$132,IF(AND(BE32&gt;1200,BE32&lt;=1500),'AUX2'!$D$133,IF(BE32&gt;1500,'AUX2'!$D$134))))))</f>
        <v>0</v>
      </c>
      <c r="BK32" s="277">
        <f t="shared" si="9"/>
        <v>0</v>
      </c>
      <c r="BL32" s="279"/>
      <c r="BM32" s="280" t="str">
        <f t="shared" si="10"/>
        <v/>
      </c>
      <c r="BN32" s="281" t="str">
        <f t="shared" si="11"/>
        <v/>
      </c>
      <c r="BO32" s="269" t="str">
        <f t="shared" si="12"/>
        <v/>
      </c>
      <c r="BP32" s="282" t="str">
        <f>IF(BO32="","",VLOOKUP(AC32,'AUX2'!$C$121:$E$125,2,0))</f>
        <v/>
      </c>
      <c r="BQ32" s="282" t="str">
        <f t="shared" si="13"/>
        <v/>
      </c>
      <c r="BR32" s="269" t="str">
        <f t="shared" si="14"/>
        <v/>
      </c>
      <c r="BS32" s="269" t="str">
        <f t="shared" si="15"/>
        <v/>
      </c>
      <c r="BT32" s="282" t="str">
        <f>IF(BO32="","",VLOOKUP(AC32,'AUX2'!$C$121:$E$125,3,0))</f>
        <v/>
      </c>
      <c r="BU32" s="283">
        <f>IF(BN32&lt;=300,'AUX2'!$D$129,IF(AND(BN32&gt;300,BN32&lt;=600),'AUX2'!$D$130,IF(AND(BN32&gt;600,BN32&lt;=900),'AUX2'!$D$131,IF(AND(BN32&gt;900,BN32&lt;=1200),'AUX2'!$D$132,IF(AND(BN32&gt;1200,BN32&lt;=1500),'AUX2'!$D$133,IF(BN32&gt;1500,'AUX2'!$D$134))))))</f>
        <v>0</v>
      </c>
      <c r="BV32" s="284">
        <f t="shared" si="16"/>
        <v>0</v>
      </c>
      <c r="BW32" s="279"/>
      <c r="BX32" s="285">
        <f t="shared" si="17"/>
        <v>0</v>
      </c>
      <c r="BY32" s="285">
        <f t="shared" si="18"/>
        <v>0</v>
      </c>
      <c r="BZ32" s="285">
        <f>AK32*'AUX2'!$K$137</f>
        <v>0</v>
      </c>
      <c r="CA32" s="285" t="str">
        <f t="shared" si="19"/>
        <v/>
      </c>
      <c r="CB32" s="285" t="str">
        <f>IF(CA32="","",VLOOKUP(AL32,'AUX2'!$C$121:$E$125,2,0))</f>
        <v/>
      </c>
      <c r="CC32" s="285" t="str">
        <f t="shared" si="20"/>
        <v/>
      </c>
      <c r="CD32" s="285" t="str">
        <f t="shared" si="21"/>
        <v/>
      </c>
      <c r="CE32" s="285" t="str">
        <f>IF(CA32="","",VLOOKUP(AL32,'AUX2'!$C$121:$E$125,3,0))</f>
        <v/>
      </c>
      <c r="CF32" s="285">
        <f>IF(CA32&lt;=300,'AUX2'!$D$129,IF(AND(CA32&gt;300,CA32&lt;=600),'AUX2'!$D$130,IF(AND(CA32&gt;600,CA32&lt;=900),'AUX2'!$D$131,IF(AND(CA32&gt;900,CA32&lt;=1200),'AUX2'!$D$132,IF(AND(CA32&gt;1200,CA32&lt;=1500),'AUX2'!$D$133,IF(CA32&gt;1500,'AUX2'!$D$134))))))</f>
        <v>0</v>
      </c>
      <c r="CG32" s="285">
        <f t="shared" si="22"/>
        <v>0</v>
      </c>
      <c r="CI32" s="286">
        <f t="shared" si="23"/>
        <v>0</v>
      </c>
      <c r="CJ32" s="287">
        <f t="shared" si="24"/>
        <v>0</v>
      </c>
      <c r="CK32" s="287">
        <f t="shared" si="25"/>
        <v>0</v>
      </c>
      <c r="CL32" s="287">
        <f t="shared" si="25"/>
        <v>0</v>
      </c>
      <c r="CM32" s="288">
        <f t="shared" si="26"/>
        <v>0</v>
      </c>
      <c r="CN32" s="289">
        <f t="shared" si="27"/>
        <v>0</v>
      </c>
      <c r="CO32" s="290">
        <f t="shared" si="28"/>
        <v>0</v>
      </c>
      <c r="CQ32" s="291" t="str">
        <f t="shared" si="29"/>
        <v/>
      </c>
      <c r="CR32" s="392"/>
    </row>
    <row r="33" spans="2:96" s="264" customFormat="1" ht="15.75" thickBot="1" x14ac:dyDescent="0.3">
      <c r="B33" s="34">
        <v>27</v>
      </c>
      <c r="C33" s="292" t="str">
        <f t="shared" si="1"/>
        <v/>
      </c>
      <c r="D33" s="293"/>
      <c r="E33" s="294"/>
      <c r="F33" s="295"/>
      <c r="G33" s="124"/>
      <c r="H33" s="124"/>
      <c r="I33" s="125"/>
      <c r="J33" s="150"/>
      <c r="K33" s="150"/>
      <c r="L33" s="150"/>
      <c r="M33" s="311"/>
      <c r="N33" s="132"/>
      <c r="O33" s="133"/>
      <c r="P33" s="134"/>
      <c r="Q33" s="133"/>
      <c r="R33" s="312"/>
      <c r="S33" s="313"/>
      <c r="T33" s="124"/>
      <c r="U33" s="314"/>
      <c r="V33" s="150"/>
      <c r="W33" s="314"/>
      <c r="X33" s="150"/>
      <c r="Y33" s="315"/>
      <c r="Z33" s="316"/>
      <c r="AA33" s="314"/>
      <c r="AB33" s="314"/>
      <c r="AC33" s="124"/>
      <c r="AD33" s="81"/>
      <c r="AE33" s="314"/>
      <c r="AF33" s="125"/>
      <c r="AG33" s="125"/>
      <c r="AH33" s="317"/>
      <c r="AI33" s="135"/>
      <c r="AJ33" s="135"/>
      <c r="AK33" s="147"/>
      <c r="AL33" s="124"/>
      <c r="AM33" s="148"/>
      <c r="AN33" s="148"/>
      <c r="AO33" s="318"/>
      <c r="AP33" s="319"/>
      <c r="AR33" s="265" t="str">
        <f>IF(G33="","",VLOOKUP(G33,'AUX2'!$C$62:$G$93,2,0))</f>
        <v/>
      </c>
      <c r="AS33" s="265" t="str">
        <f>IF(G33="","",VLOOKUP(G33,'AUX2'!$C$62:$G$93,3,0))</f>
        <v/>
      </c>
      <c r="AT33" s="265" t="str">
        <f>IF(H33="","",VLOOKUP(H33,'AUX2'!$C$98:$D$102,2,0))</f>
        <v/>
      </c>
      <c r="AU33" s="266"/>
      <c r="AV33" s="267">
        <f t="shared" si="2"/>
        <v>0</v>
      </c>
      <c r="AW33" s="268">
        <f>IF(AV33="",0,AV33*'AUX2'!$K$129)</f>
        <v>0</v>
      </c>
      <c r="AX33" s="269">
        <f t="shared" si="3"/>
        <v>0</v>
      </c>
      <c r="AY33" s="270">
        <f>IF(AX33="",0,AX33*'AUX2'!$K$129)</f>
        <v>0</v>
      </c>
      <c r="AZ33" s="271">
        <f t="shared" si="4"/>
        <v>0</v>
      </c>
      <c r="BA33" s="272">
        <f>IF(AZ33="",0,AZ33*'AUX2'!$K$129)</f>
        <v>0</v>
      </c>
      <c r="BB33" s="273">
        <f t="shared" si="5"/>
        <v>0</v>
      </c>
      <c r="BC33" s="274">
        <f>IF(BB33="",0,BB33*'AUX2'!$K$129)</f>
        <v>0</v>
      </c>
      <c r="BD33" s="275"/>
      <c r="BE33" s="276" t="str">
        <f t="shared" si="6"/>
        <v/>
      </c>
      <c r="BF33" s="277" t="str">
        <f>IF(BE33="","",VLOOKUP(T33,'AUX2'!$C$121:$E$125,2,0))</f>
        <v/>
      </c>
      <c r="BG33" s="277" t="str">
        <f t="shared" si="7"/>
        <v/>
      </c>
      <c r="BH33" s="267" t="str">
        <f t="shared" si="8"/>
        <v/>
      </c>
      <c r="BI33" s="278" t="str">
        <f>IF(BE33="","",VLOOKUP(T33,'AUX2'!$C$121:$E$125,3,0))</f>
        <v/>
      </c>
      <c r="BJ33" s="277">
        <f>IF(BE33&lt;=300,'AUX2'!$D$129,IF(AND(BE33&gt;300,BE33&lt;=600),'AUX2'!$D$130,IF(AND(BE33&gt;600,BE33&lt;=900),'AUX2'!$D$131,IF(AND(BE33&gt;900,BE33&lt;=1200),'AUX2'!$D$132,IF(AND(BE33&gt;1200,BE33&lt;=1500),'AUX2'!$D$133,IF(BE33&gt;1500,'AUX2'!$D$134))))))</f>
        <v>0</v>
      </c>
      <c r="BK33" s="277">
        <f t="shared" si="9"/>
        <v>0</v>
      </c>
      <c r="BL33" s="279"/>
      <c r="BM33" s="280" t="str">
        <f t="shared" si="10"/>
        <v/>
      </c>
      <c r="BN33" s="281" t="str">
        <f t="shared" si="11"/>
        <v/>
      </c>
      <c r="BO33" s="269" t="str">
        <f t="shared" si="12"/>
        <v/>
      </c>
      <c r="BP33" s="282" t="str">
        <f>IF(BO33="","",VLOOKUP(AC33,'AUX2'!$C$121:$E$125,2,0))</f>
        <v/>
      </c>
      <c r="BQ33" s="282" t="str">
        <f t="shared" si="13"/>
        <v/>
      </c>
      <c r="BR33" s="269" t="str">
        <f t="shared" si="14"/>
        <v/>
      </c>
      <c r="BS33" s="269" t="str">
        <f t="shared" si="15"/>
        <v/>
      </c>
      <c r="BT33" s="282" t="str">
        <f>IF(BO33="","",VLOOKUP(AC33,'AUX2'!$C$121:$E$125,3,0))</f>
        <v/>
      </c>
      <c r="BU33" s="283">
        <f>IF(BN33&lt;=300,'AUX2'!$D$129,IF(AND(BN33&gt;300,BN33&lt;=600),'AUX2'!$D$130,IF(AND(BN33&gt;600,BN33&lt;=900),'AUX2'!$D$131,IF(AND(BN33&gt;900,BN33&lt;=1200),'AUX2'!$D$132,IF(AND(BN33&gt;1200,BN33&lt;=1500),'AUX2'!$D$133,IF(BN33&gt;1500,'AUX2'!$D$134))))))</f>
        <v>0</v>
      </c>
      <c r="BV33" s="284">
        <f t="shared" si="16"/>
        <v>0</v>
      </c>
      <c r="BW33" s="279"/>
      <c r="BX33" s="285">
        <f t="shared" si="17"/>
        <v>0</v>
      </c>
      <c r="BY33" s="285">
        <f t="shared" si="18"/>
        <v>0</v>
      </c>
      <c r="BZ33" s="285">
        <f>AK33*'AUX2'!$K$137</f>
        <v>0</v>
      </c>
      <c r="CA33" s="285" t="str">
        <f t="shared" si="19"/>
        <v/>
      </c>
      <c r="CB33" s="285" t="str">
        <f>IF(CA33="","",VLOOKUP(AL33,'AUX2'!$C$121:$E$125,2,0))</f>
        <v/>
      </c>
      <c r="CC33" s="285" t="str">
        <f t="shared" si="20"/>
        <v/>
      </c>
      <c r="CD33" s="285" t="str">
        <f t="shared" si="21"/>
        <v/>
      </c>
      <c r="CE33" s="285" t="str">
        <f>IF(CA33="","",VLOOKUP(AL33,'AUX2'!$C$121:$E$125,3,0))</f>
        <v/>
      </c>
      <c r="CF33" s="285">
        <f>IF(CA33&lt;=300,'AUX2'!$D$129,IF(AND(CA33&gt;300,CA33&lt;=600),'AUX2'!$D$130,IF(AND(CA33&gt;600,CA33&lt;=900),'AUX2'!$D$131,IF(AND(CA33&gt;900,CA33&lt;=1200),'AUX2'!$D$132,IF(AND(CA33&gt;1200,CA33&lt;=1500),'AUX2'!$D$133,IF(CA33&gt;1500,'AUX2'!$D$134))))))</f>
        <v>0</v>
      </c>
      <c r="CG33" s="285">
        <f t="shared" si="22"/>
        <v>0</v>
      </c>
      <c r="CI33" s="286">
        <f t="shared" si="23"/>
        <v>0</v>
      </c>
      <c r="CJ33" s="287">
        <f t="shared" si="24"/>
        <v>0</v>
      </c>
      <c r="CK33" s="287">
        <f t="shared" si="25"/>
        <v>0</v>
      </c>
      <c r="CL33" s="287">
        <f t="shared" si="25"/>
        <v>0</v>
      </c>
      <c r="CM33" s="288">
        <f t="shared" si="26"/>
        <v>0</v>
      </c>
      <c r="CN33" s="289">
        <f t="shared" si="27"/>
        <v>0</v>
      </c>
      <c r="CO33" s="290">
        <f t="shared" si="28"/>
        <v>0</v>
      </c>
      <c r="CQ33" s="291" t="str">
        <f t="shared" si="29"/>
        <v/>
      </c>
      <c r="CR33" s="392"/>
    </row>
    <row r="34" spans="2:96" s="264" customFormat="1" ht="15.75" thickBot="1" x14ac:dyDescent="0.3">
      <c r="B34" s="34">
        <v>28</v>
      </c>
      <c r="C34" s="292" t="str">
        <f t="shared" si="1"/>
        <v/>
      </c>
      <c r="D34" s="293"/>
      <c r="E34" s="294"/>
      <c r="F34" s="295"/>
      <c r="G34" s="124"/>
      <c r="H34" s="124"/>
      <c r="I34" s="125"/>
      <c r="J34" s="150"/>
      <c r="K34" s="150"/>
      <c r="L34" s="150"/>
      <c r="M34" s="311"/>
      <c r="N34" s="132"/>
      <c r="O34" s="133"/>
      <c r="P34" s="134"/>
      <c r="Q34" s="133"/>
      <c r="R34" s="312"/>
      <c r="S34" s="313"/>
      <c r="T34" s="124"/>
      <c r="U34" s="314"/>
      <c r="V34" s="150"/>
      <c r="W34" s="314"/>
      <c r="X34" s="150"/>
      <c r="Y34" s="315"/>
      <c r="Z34" s="316"/>
      <c r="AA34" s="314"/>
      <c r="AB34" s="314"/>
      <c r="AC34" s="124"/>
      <c r="AD34" s="81"/>
      <c r="AE34" s="314"/>
      <c r="AF34" s="125"/>
      <c r="AG34" s="125"/>
      <c r="AH34" s="317"/>
      <c r="AI34" s="135"/>
      <c r="AJ34" s="135"/>
      <c r="AK34" s="147"/>
      <c r="AL34" s="124"/>
      <c r="AM34" s="148"/>
      <c r="AN34" s="148"/>
      <c r="AO34" s="318"/>
      <c r="AP34" s="319"/>
      <c r="AR34" s="265" t="str">
        <f>IF(G34="","",VLOOKUP(G34,'AUX2'!$C$62:$G$93,2,0))</f>
        <v/>
      </c>
      <c r="AS34" s="265" t="str">
        <f>IF(G34="","",VLOOKUP(G34,'AUX2'!$C$62:$G$93,3,0))</f>
        <v/>
      </c>
      <c r="AT34" s="265" t="str">
        <f>IF(H34="","",VLOOKUP(H34,'AUX2'!$C$98:$D$102,2,0))</f>
        <v/>
      </c>
      <c r="AU34" s="266"/>
      <c r="AV34" s="267">
        <f t="shared" si="2"/>
        <v>0</v>
      </c>
      <c r="AW34" s="268">
        <f>IF(AV34="",0,AV34*'AUX2'!$K$129)</f>
        <v>0</v>
      </c>
      <c r="AX34" s="269">
        <f t="shared" si="3"/>
        <v>0</v>
      </c>
      <c r="AY34" s="270">
        <f>IF(AX34="",0,AX34*'AUX2'!$K$129)</f>
        <v>0</v>
      </c>
      <c r="AZ34" s="271">
        <f t="shared" si="4"/>
        <v>0</v>
      </c>
      <c r="BA34" s="272">
        <f>IF(AZ34="",0,AZ34*'AUX2'!$K$129)</f>
        <v>0</v>
      </c>
      <c r="BB34" s="273">
        <f t="shared" si="5"/>
        <v>0</v>
      </c>
      <c r="BC34" s="274">
        <f>IF(BB34="",0,BB34*'AUX2'!$K$129)</f>
        <v>0</v>
      </c>
      <c r="BD34" s="275"/>
      <c r="BE34" s="276" t="str">
        <f t="shared" si="6"/>
        <v/>
      </c>
      <c r="BF34" s="277" t="str">
        <f>IF(BE34="","",VLOOKUP(T34,'AUX2'!$C$121:$E$125,2,0))</f>
        <v/>
      </c>
      <c r="BG34" s="277" t="str">
        <f t="shared" si="7"/>
        <v/>
      </c>
      <c r="BH34" s="267" t="str">
        <f t="shared" si="8"/>
        <v/>
      </c>
      <c r="BI34" s="278" t="str">
        <f>IF(BE34="","",VLOOKUP(T34,'AUX2'!$C$121:$E$125,3,0))</f>
        <v/>
      </c>
      <c r="BJ34" s="277">
        <f>IF(BE34&lt;=300,'AUX2'!$D$129,IF(AND(BE34&gt;300,BE34&lt;=600),'AUX2'!$D$130,IF(AND(BE34&gt;600,BE34&lt;=900),'AUX2'!$D$131,IF(AND(BE34&gt;900,BE34&lt;=1200),'AUX2'!$D$132,IF(AND(BE34&gt;1200,BE34&lt;=1500),'AUX2'!$D$133,IF(BE34&gt;1500,'AUX2'!$D$134))))))</f>
        <v>0</v>
      </c>
      <c r="BK34" s="277">
        <f t="shared" si="9"/>
        <v>0</v>
      </c>
      <c r="BL34" s="279"/>
      <c r="BM34" s="280" t="str">
        <f t="shared" si="10"/>
        <v/>
      </c>
      <c r="BN34" s="281" t="str">
        <f t="shared" si="11"/>
        <v/>
      </c>
      <c r="BO34" s="269" t="str">
        <f t="shared" si="12"/>
        <v/>
      </c>
      <c r="BP34" s="282" t="str">
        <f>IF(BO34="","",VLOOKUP(AC34,'AUX2'!$C$121:$E$125,2,0))</f>
        <v/>
      </c>
      <c r="BQ34" s="282" t="str">
        <f t="shared" si="13"/>
        <v/>
      </c>
      <c r="BR34" s="269" t="str">
        <f t="shared" si="14"/>
        <v/>
      </c>
      <c r="BS34" s="269" t="str">
        <f t="shared" si="15"/>
        <v/>
      </c>
      <c r="BT34" s="282" t="str">
        <f>IF(BO34="","",VLOOKUP(AC34,'AUX2'!$C$121:$E$125,3,0))</f>
        <v/>
      </c>
      <c r="BU34" s="283">
        <f>IF(BN34&lt;=300,'AUX2'!$D$129,IF(AND(BN34&gt;300,BN34&lt;=600),'AUX2'!$D$130,IF(AND(BN34&gt;600,BN34&lt;=900),'AUX2'!$D$131,IF(AND(BN34&gt;900,BN34&lt;=1200),'AUX2'!$D$132,IF(AND(BN34&gt;1200,BN34&lt;=1500),'AUX2'!$D$133,IF(BN34&gt;1500,'AUX2'!$D$134))))))</f>
        <v>0</v>
      </c>
      <c r="BV34" s="284">
        <f t="shared" si="16"/>
        <v>0</v>
      </c>
      <c r="BW34" s="279"/>
      <c r="BX34" s="285">
        <f t="shared" si="17"/>
        <v>0</v>
      </c>
      <c r="BY34" s="285">
        <f t="shared" si="18"/>
        <v>0</v>
      </c>
      <c r="BZ34" s="285">
        <f>AK34*'AUX2'!$K$137</f>
        <v>0</v>
      </c>
      <c r="CA34" s="285" t="str">
        <f t="shared" si="19"/>
        <v/>
      </c>
      <c r="CB34" s="285" t="str">
        <f>IF(CA34="","",VLOOKUP(AL34,'AUX2'!$C$121:$E$125,2,0))</f>
        <v/>
      </c>
      <c r="CC34" s="285" t="str">
        <f t="shared" si="20"/>
        <v/>
      </c>
      <c r="CD34" s="285" t="str">
        <f t="shared" si="21"/>
        <v/>
      </c>
      <c r="CE34" s="285" t="str">
        <f>IF(CA34="","",VLOOKUP(AL34,'AUX2'!$C$121:$E$125,3,0))</f>
        <v/>
      </c>
      <c r="CF34" s="285">
        <f>IF(CA34&lt;=300,'AUX2'!$D$129,IF(AND(CA34&gt;300,CA34&lt;=600),'AUX2'!$D$130,IF(AND(CA34&gt;600,CA34&lt;=900),'AUX2'!$D$131,IF(AND(CA34&gt;900,CA34&lt;=1200),'AUX2'!$D$132,IF(AND(CA34&gt;1200,CA34&lt;=1500),'AUX2'!$D$133,IF(CA34&gt;1500,'AUX2'!$D$134))))))</f>
        <v>0</v>
      </c>
      <c r="CG34" s="285">
        <f t="shared" si="22"/>
        <v>0</v>
      </c>
      <c r="CI34" s="286">
        <f t="shared" si="23"/>
        <v>0</v>
      </c>
      <c r="CJ34" s="287">
        <f t="shared" si="24"/>
        <v>0</v>
      </c>
      <c r="CK34" s="287">
        <f t="shared" si="25"/>
        <v>0</v>
      </c>
      <c r="CL34" s="287">
        <f t="shared" si="25"/>
        <v>0</v>
      </c>
      <c r="CM34" s="288">
        <f t="shared" si="26"/>
        <v>0</v>
      </c>
      <c r="CN34" s="289">
        <f t="shared" si="27"/>
        <v>0</v>
      </c>
      <c r="CO34" s="290">
        <f t="shared" si="28"/>
        <v>0</v>
      </c>
      <c r="CQ34" s="291" t="str">
        <f t="shared" si="29"/>
        <v/>
      </c>
      <c r="CR34" s="392"/>
    </row>
    <row r="35" spans="2:96" s="264" customFormat="1" ht="15.75" thickBot="1" x14ac:dyDescent="0.3">
      <c r="B35" s="34">
        <v>29</v>
      </c>
      <c r="C35" s="292" t="str">
        <f t="shared" si="1"/>
        <v/>
      </c>
      <c r="D35" s="293"/>
      <c r="E35" s="294"/>
      <c r="F35" s="295"/>
      <c r="G35" s="124"/>
      <c r="H35" s="124"/>
      <c r="I35" s="125"/>
      <c r="J35" s="150"/>
      <c r="K35" s="150"/>
      <c r="L35" s="150"/>
      <c r="M35" s="311"/>
      <c r="N35" s="132"/>
      <c r="O35" s="133"/>
      <c r="P35" s="134"/>
      <c r="Q35" s="133"/>
      <c r="R35" s="312"/>
      <c r="S35" s="313"/>
      <c r="T35" s="124"/>
      <c r="U35" s="314"/>
      <c r="V35" s="150"/>
      <c r="W35" s="314"/>
      <c r="X35" s="150"/>
      <c r="Y35" s="315"/>
      <c r="Z35" s="316"/>
      <c r="AA35" s="314"/>
      <c r="AB35" s="314"/>
      <c r="AC35" s="124"/>
      <c r="AD35" s="81"/>
      <c r="AE35" s="314"/>
      <c r="AF35" s="125"/>
      <c r="AG35" s="125"/>
      <c r="AH35" s="317"/>
      <c r="AI35" s="135"/>
      <c r="AJ35" s="135"/>
      <c r="AK35" s="147"/>
      <c r="AL35" s="124"/>
      <c r="AM35" s="148"/>
      <c r="AN35" s="148"/>
      <c r="AO35" s="318"/>
      <c r="AP35" s="319"/>
      <c r="AR35" s="265" t="str">
        <f>IF(G35="","",VLOOKUP(G35,'AUX2'!$C$62:$G$93,2,0))</f>
        <v/>
      </c>
      <c r="AS35" s="265" t="str">
        <f>IF(G35="","",VLOOKUP(G35,'AUX2'!$C$62:$G$93,3,0))</f>
        <v/>
      </c>
      <c r="AT35" s="265" t="str">
        <f>IF(H35="","",VLOOKUP(H35,'AUX2'!$C$98:$D$102,2,0))</f>
        <v/>
      </c>
      <c r="AU35" s="266"/>
      <c r="AV35" s="267">
        <f t="shared" si="2"/>
        <v>0</v>
      </c>
      <c r="AW35" s="268">
        <f>IF(AV35="",0,AV35*'AUX2'!$K$129)</f>
        <v>0</v>
      </c>
      <c r="AX35" s="269">
        <f t="shared" si="3"/>
        <v>0</v>
      </c>
      <c r="AY35" s="270">
        <f>IF(AX35="",0,AX35*'AUX2'!$K$129)</f>
        <v>0</v>
      </c>
      <c r="AZ35" s="271">
        <f t="shared" si="4"/>
        <v>0</v>
      </c>
      <c r="BA35" s="272">
        <f>IF(AZ35="",0,AZ35*'AUX2'!$K$129)</f>
        <v>0</v>
      </c>
      <c r="BB35" s="273">
        <f t="shared" si="5"/>
        <v>0</v>
      </c>
      <c r="BC35" s="274">
        <f>IF(BB35="",0,BB35*'AUX2'!$K$129)</f>
        <v>0</v>
      </c>
      <c r="BD35" s="275"/>
      <c r="BE35" s="276" t="str">
        <f t="shared" si="6"/>
        <v/>
      </c>
      <c r="BF35" s="277" t="str">
        <f>IF(BE35="","",VLOOKUP(T35,'AUX2'!$C$121:$E$125,2,0))</f>
        <v/>
      </c>
      <c r="BG35" s="277" t="str">
        <f t="shared" si="7"/>
        <v/>
      </c>
      <c r="BH35" s="267" t="str">
        <f t="shared" si="8"/>
        <v/>
      </c>
      <c r="BI35" s="278" t="str">
        <f>IF(BE35="","",VLOOKUP(T35,'AUX2'!$C$121:$E$125,3,0))</f>
        <v/>
      </c>
      <c r="BJ35" s="277">
        <f>IF(BE35&lt;=300,'AUX2'!$D$129,IF(AND(BE35&gt;300,BE35&lt;=600),'AUX2'!$D$130,IF(AND(BE35&gt;600,BE35&lt;=900),'AUX2'!$D$131,IF(AND(BE35&gt;900,BE35&lt;=1200),'AUX2'!$D$132,IF(AND(BE35&gt;1200,BE35&lt;=1500),'AUX2'!$D$133,IF(BE35&gt;1500,'AUX2'!$D$134))))))</f>
        <v>0</v>
      </c>
      <c r="BK35" s="277">
        <f t="shared" si="9"/>
        <v>0</v>
      </c>
      <c r="BL35" s="279"/>
      <c r="BM35" s="280" t="str">
        <f t="shared" si="10"/>
        <v/>
      </c>
      <c r="BN35" s="281" t="str">
        <f t="shared" si="11"/>
        <v/>
      </c>
      <c r="BO35" s="269" t="str">
        <f t="shared" si="12"/>
        <v/>
      </c>
      <c r="BP35" s="282" t="str">
        <f>IF(BO35="","",VLOOKUP(AC35,'AUX2'!$C$121:$E$125,2,0))</f>
        <v/>
      </c>
      <c r="BQ35" s="282" t="str">
        <f t="shared" si="13"/>
        <v/>
      </c>
      <c r="BR35" s="269" t="str">
        <f t="shared" si="14"/>
        <v/>
      </c>
      <c r="BS35" s="269" t="str">
        <f t="shared" si="15"/>
        <v/>
      </c>
      <c r="BT35" s="282" t="str">
        <f>IF(BO35="","",VLOOKUP(AC35,'AUX2'!$C$121:$E$125,3,0))</f>
        <v/>
      </c>
      <c r="BU35" s="283">
        <f>IF(BN35&lt;=300,'AUX2'!$D$129,IF(AND(BN35&gt;300,BN35&lt;=600),'AUX2'!$D$130,IF(AND(BN35&gt;600,BN35&lt;=900),'AUX2'!$D$131,IF(AND(BN35&gt;900,BN35&lt;=1200),'AUX2'!$D$132,IF(AND(BN35&gt;1200,BN35&lt;=1500),'AUX2'!$D$133,IF(BN35&gt;1500,'AUX2'!$D$134))))))</f>
        <v>0</v>
      </c>
      <c r="BV35" s="284">
        <f t="shared" si="16"/>
        <v>0</v>
      </c>
      <c r="BW35" s="279"/>
      <c r="BX35" s="285">
        <f t="shared" si="17"/>
        <v>0</v>
      </c>
      <c r="BY35" s="285">
        <f t="shared" si="18"/>
        <v>0</v>
      </c>
      <c r="BZ35" s="285">
        <f>AK35*'AUX2'!$K$137</f>
        <v>0</v>
      </c>
      <c r="CA35" s="285" t="str">
        <f t="shared" si="19"/>
        <v/>
      </c>
      <c r="CB35" s="285" t="str">
        <f>IF(CA35="","",VLOOKUP(AL35,'AUX2'!$C$121:$E$125,2,0))</f>
        <v/>
      </c>
      <c r="CC35" s="285" t="str">
        <f t="shared" si="20"/>
        <v/>
      </c>
      <c r="CD35" s="285" t="str">
        <f t="shared" si="21"/>
        <v/>
      </c>
      <c r="CE35" s="285" t="str">
        <f>IF(CA35="","",VLOOKUP(AL35,'AUX2'!$C$121:$E$125,3,0))</f>
        <v/>
      </c>
      <c r="CF35" s="285">
        <f>IF(CA35&lt;=300,'AUX2'!$D$129,IF(AND(CA35&gt;300,CA35&lt;=600),'AUX2'!$D$130,IF(AND(CA35&gt;600,CA35&lt;=900),'AUX2'!$D$131,IF(AND(CA35&gt;900,CA35&lt;=1200),'AUX2'!$D$132,IF(AND(CA35&gt;1200,CA35&lt;=1500),'AUX2'!$D$133,IF(CA35&gt;1500,'AUX2'!$D$134))))))</f>
        <v>0</v>
      </c>
      <c r="CG35" s="285">
        <f t="shared" si="22"/>
        <v>0</v>
      </c>
      <c r="CI35" s="286">
        <f t="shared" si="23"/>
        <v>0</v>
      </c>
      <c r="CJ35" s="287">
        <f t="shared" si="24"/>
        <v>0</v>
      </c>
      <c r="CK35" s="287">
        <f t="shared" si="25"/>
        <v>0</v>
      </c>
      <c r="CL35" s="287">
        <f t="shared" si="25"/>
        <v>0</v>
      </c>
      <c r="CM35" s="288">
        <f t="shared" si="26"/>
        <v>0</v>
      </c>
      <c r="CN35" s="289">
        <f t="shared" si="27"/>
        <v>0</v>
      </c>
      <c r="CO35" s="290">
        <f t="shared" si="28"/>
        <v>0</v>
      </c>
      <c r="CQ35" s="291" t="str">
        <f t="shared" si="29"/>
        <v/>
      </c>
      <c r="CR35" s="392"/>
    </row>
    <row r="36" spans="2:96" s="264" customFormat="1" ht="15.75" thickBot="1" x14ac:dyDescent="0.3">
      <c r="B36" s="34">
        <v>30</v>
      </c>
      <c r="C36" s="292" t="str">
        <f t="shared" si="1"/>
        <v/>
      </c>
      <c r="D36" s="293"/>
      <c r="E36" s="294"/>
      <c r="F36" s="295"/>
      <c r="G36" s="124"/>
      <c r="H36" s="124"/>
      <c r="I36" s="125"/>
      <c r="J36" s="150"/>
      <c r="K36" s="150"/>
      <c r="L36" s="150"/>
      <c r="M36" s="311"/>
      <c r="N36" s="132"/>
      <c r="O36" s="133"/>
      <c r="P36" s="134"/>
      <c r="Q36" s="133"/>
      <c r="R36" s="312"/>
      <c r="S36" s="313"/>
      <c r="T36" s="124"/>
      <c r="U36" s="314"/>
      <c r="V36" s="150"/>
      <c r="W36" s="314"/>
      <c r="X36" s="150"/>
      <c r="Y36" s="315"/>
      <c r="Z36" s="316"/>
      <c r="AA36" s="314"/>
      <c r="AB36" s="314"/>
      <c r="AC36" s="124"/>
      <c r="AD36" s="81"/>
      <c r="AE36" s="314"/>
      <c r="AF36" s="125"/>
      <c r="AG36" s="125"/>
      <c r="AH36" s="317"/>
      <c r="AI36" s="135"/>
      <c r="AJ36" s="135"/>
      <c r="AK36" s="147"/>
      <c r="AL36" s="124"/>
      <c r="AM36" s="148"/>
      <c r="AN36" s="148"/>
      <c r="AO36" s="318"/>
      <c r="AP36" s="319"/>
      <c r="AR36" s="265" t="str">
        <f>IF(G36="","",VLOOKUP(G36,'AUX2'!$C$62:$G$93,2,0))</f>
        <v/>
      </c>
      <c r="AS36" s="265" t="str">
        <f>IF(G36="","",VLOOKUP(G36,'AUX2'!$C$62:$G$93,3,0))</f>
        <v/>
      </c>
      <c r="AT36" s="265" t="str">
        <f>IF(H36="","",VLOOKUP(H36,'AUX2'!$C$98:$D$102,2,0))</f>
        <v/>
      </c>
      <c r="AU36" s="266"/>
      <c r="AV36" s="267">
        <f t="shared" si="2"/>
        <v>0</v>
      </c>
      <c r="AW36" s="268">
        <f>IF(AV36="",0,AV36*'AUX2'!$K$129)</f>
        <v>0</v>
      </c>
      <c r="AX36" s="269">
        <f t="shared" si="3"/>
        <v>0</v>
      </c>
      <c r="AY36" s="270">
        <f>IF(AX36="",0,AX36*'AUX2'!$K$129)</f>
        <v>0</v>
      </c>
      <c r="AZ36" s="271">
        <f t="shared" si="4"/>
        <v>0</v>
      </c>
      <c r="BA36" s="272">
        <f>IF(AZ36="",0,AZ36*'AUX2'!$K$129)</f>
        <v>0</v>
      </c>
      <c r="BB36" s="273">
        <f t="shared" si="5"/>
        <v>0</v>
      </c>
      <c r="BC36" s="274">
        <f>IF(BB36="",0,BB36*'AUX2'!$K$129)</f>
        <v>0</v>
      </c>
      <c r="BD36" s="275"/>
      <c r="BE36" s="276" t="str">
        <f t="shared" si="6"/>
        <v/>
      </c>
      <c r="BF36" s="277" t="str">
        <f>IF(BE36="","",VLOOKUP(T36,'AUX2'!$C$121:$E$125,2,0))</f>
        <v/>
      </c>
      <c r="BG36" s="277" t="str">
        <f t="shared" si="7"/>
        <v/>
      </c>
      <c r="BH36" s="267" t="str">
        <f t="shared" si="8"/>
        <v/>
      </c>
      <c r="BI36" s="278" t="str">
        <f>IF(BE36="","",VLOOKUP(T36,'AUX2'!$C$121:$E$125,3,0))</f>
        <v/>
      </c>
      <c r="BJ36" s="277">
        <f>IF(BE36&lt;=300,'AUX2'!$D$129,IF(AND(BE36&gt;300,BE36&lt;=600),'AUX2'!$D$130,IF(AND(BE36&gt;600,BE36&lt;=900),'AUX2'!$D$131,IF(AND(BE36&gt;900,BE36&lt;=1200),'AUX2'!$D$132,IF(AND(BE36&gt;1200,BE36&lt;=1500),'AUX2'!$D$133,IF(BE36&gt;1500,'AUX2'!$D$134))))))</f>
        <v>0</v>
      </c>
      <c r="BK36" s="277">
        <f t="shared" si="9"/>
        <v>0</v>
      </c>
      <c r="BL36" s="279"/>
      <c r="BM36" s="280" t="str">
        <f t="shared" si="10"/>
        <v/>
      </c>
      <c r="BN36" s="281" t="str">
        <f t="shared" si="11"/>
        <v/>
      </c>
      <c r="BO36" s="269" t="str">
        <f t="shared" si="12"/>
        <v/>
      </c>
      <c r="BP36" s="282" t="str">
        <f>IF(BO36="","",VLOOKUP(AC36,'AUX2'!$C$121:$E$125,2,0))</f>
        <v/>
      </c>
      <c r="BQ36" s="282" t="str">
        <f t="shared" si="13"/>
        <v/>
      </c>
      <c r="BR36" s="269" t="str">
        <f t="shared" si="14"/>
        <v/>
      </c>
      <c r="BS36" s="269" t="str">
        <f t="shared" si="15"/>
        <v/>
      </c>
      <c r="BT36" s="282" t="str">
        <f>IF(BO36="","",VLOOKUP(AC36,'AUX2'!$C$121:$E$125,3,0))</f>
        <v/>
      </c>
      <c r="BU36" s="283">
        <f>IF(BN36&lt;=300,'AUX2'!$D$129,IF(AND(BN36&gt;300,BN36&lt;=600),'AUX2'!$D$130,IF(AND(BN36&gt;600,BN36&lt;=900),'AUX2'!$D$131,IF(AND(BN36&gt;900,BN36&lt;=1200),'AUX2'!$D$132,IF(AND(BN36&gt;1200,BN36&lt;=1500),'AUX2'!$D$133,IF(BN36&gt;1500,'AUX2'!$D$134))))))</f>
        <v>0</v>
      </c>
      <c r="BV36" s="284">
        <f t="shared" si="16"/>
        <v>0</v>
      </c>
      <c r="BW36" s="279"/>
      <c r="BX36" s="285">
        <f t="shared" si="17"/>
        <v>0</v>
      </c>
      <c r="BY36" s="285">
        <f t="shared" si="18"/>
        <v>0</v>
      </c>
      <c r="BZ36" s="285">
        <f>AK36*'AUX2'!$K$137</f>
        <v>0</v>
      </c>
      <c r="CA36" s="285" t="str">
        <f t="shared" si="19"/>
        <v/>
      </c>
      <c r="CB36" s="285" t="str">
        <f>IF(CA36="","",VLOOKUP(AL36,'AUX2'!$C$121:$E$125,2,0))</f>
        <v/>
      </c>
      <c r="CC36" s="285" t="str">
        <f t="shared" si="20"/>
        <v/>
      </c>
      <c r="CD36" s="285" t="str">
        <f t="shared" si="21"/>
        <v/>
      </c>
      <c r="CE36" s="285" t="str">
        <f>IF(CA36="","",VLOOKUP(AL36,'AUX2'!$C$121:$E$125,3,0))</f>
        <v/>
      </c>
      <c r="CF36" s="285">
        <f>IF(CA36&lt;=300,'AUX2'!$D$129,IF(AND(CA36&gt;300,CA36&lt;=600),'AUX2'!$D$130,IF(AND(CA36&gt;600,CA36&lt;=900),'AUX2'!$D$131,IF(AND(CA36&gt;900,CA36&lt;=1200),'AUX2'!$D$132,IF(AND(CA36&gt;1200,CA36&lt;=1500),'AUX2'!$D$133,IF(CA36&gt;1500,'AUX2'!$D$134))))))</f>
        <v>0</v>
      </c>
      <c r="CG36" s="285">
        <f t="shared" si="22"/>
        <v>0</v>
      </c>
      <c r="CI36" s="286">
        <f t="shared" si="23"/>
        <v>0</v>
      </c>
      <c r="CJ36" s="287">
        <f t="shared" si="24"/>
        <v>0</v>
      </c>
      <c r="CK36" s="287">
        <f t="shared" si="25"/>
        <v>0</v>
      </c>
      <c r="CL36" s="287">
        <f t="shared" si="25"/>
        <v>0</v>
      </c>
      <c r="CM36" s="288">
        <f t="shared" si="26"/>
        <v>0</v>
      </c>
      <c r="CN36" s="289">
        <f t="shared" si="27"/>
        <v>0</v>
      </c>
      <c r="CO36" s="290">
        <f t="shared" si="28"/>
        <v>0</v>
      </c>
      <c r="CQ36" s="296" t="str">
        <f t="shared" si="29"/>
        <v/>
      </c>
      <c r="CR36" s="393"/>
    </row>
    <row r="37" spans="2:96" x14ac:dyDescent="0.25">
      <c r="AV37" s="11">
        <f>SUM(AV7:AV36)</f>
        <v>0</v>
      </c>
      <c r="AW37" s="297">
        <f>SUM(AW7:AW36)</f>
        <v>0</v>
      </c>
      <c r="AX37" s="11">
        <f t="shared" ref="AX37:BB37" si="30">SUM(AX7:AX36)</f>
        <v>0</v>
      </c>
      <c r="AY37" s="297">
        <f>SUM(AY7:AY36)</f>
        <v>0</v>
      </c>
      <c r="AZ37" s="11">
        <f t="shared" si="30"/>
        <v>0</v>
      </c>
      <c r="BA37" s="297">
        <f>SUM(BA7:BA36)</f>
        <v>0</v>
      </c>
      <c r="BB37" s="11">
        <f t="shared" si="30"/>
        <v>0</v>
      </c>
      <c r="BC37" s="297">
        <f>SUM(BC7:BC36)</f>
        <v>0</v>
      </c>
      <c r="BG37" s="142">
        <f>SUM(BG7:BG36)</f>
        <v>0</v>
      </c>
      <c r="BK37" s="142">
        <f>SUM(BK7:BK36)</f>
        <v>0</v>
      </c>
      <c r="BQ37" s="142">
        <f>SUM(BQ7:BQ36)</f>
        <v>0</v>
      </c>
      <c r="BV37" s="142">
        <f>SUM(BV7:BV36)</f>
        <v>0</v>
      </c>
      <c r="BX37" s="298">
        <f>SUM(BX7:BX36)</f>
        <v>0</v>
      </c>
      <c r="BY37" s="298">
        <f t="shared" ref="BY37:BZ37" si="31">SUM(BY7:BY36)</f>
        <v>0</v>
      </c>
      <c r="BZ37" s="298">
        <f t="shared" si="31"/>
        <v>0</v>
      </c>
      <c r="CC37" s="298">
        <f t="shared" ref="CC37" si="32">SUM(CC7:CC36)</f>
        <v>0</v>
      </c>
      <c r="CG37" s="298">
        <f t="shared" ref="CG37" si="33">SUM(CG7:CG36)</f>
        <v>0</v>
      </c>
      <c r="CI37" s="299">
        <f>SUM(CI7:CI36)</f>
        <v>0</v>
      </c>
      <c r="CJ37" s="299">
        <f t="shared" ref="CJ37:CO37" si="34">SUM(CJ7:CJ36)</f>
        <v>0</v>
      </c>
      <c r="CK37" s="299">
        <f t="shared" si="34"/>
        <v>0</v>
      </c>
      <c r="CL37" s="299">
        <f t="shared" si="34"/>
        <v>0</v>
      </c>
      <c r="CM37" s="299">
        <f t="shared" si="34"/>
        <v>0</v>
      </c>
      <c r="CN37" s="299">
        <f t="shared" si="34"/>
        <v>0</v>
      </c>
      <c r="CO37" s="299">
        <f t="shared" si="34"/>
        <v>0</v>
      </c>
      <c r="CQ37" s="300">
        <f>SUM(CQ7:CQ36)</f>
        <v>0</v>
      </c>
    </row>
    <row r="38" spans="2:96" x14ac:dyDescent="0.25"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109"/>
      <c r="AA38" s="109"/>
      <c r="AB38" s="109"/>
      <c r="AC38" s="109"/>
      <c r="AD38" s="109"/>
      <c r="AE38" s="109"/>
      <c r="AF38" s="109"/>
      <c r="AG38" s="109"/>
      <c r="AH38" s="48"/>
      <c r="AI38" s="48"/>
      <c r="AJ38" s="48"/>
      <c r="AK38" s="48"/>
      <c r="AL38" s="48"/>
      <c r="AM38" s="48"/>
      <c r="AN38" s="48"/>
    </row>
    <row r="39" spans="2:96" x14ac:dyDescent="0.25">
      <c r="BQ39" s="142"/>
    </row>
  </sheetData>
  <sheetProtection algorithmName="SHA-512" hashValue="DxqBTKa77Dc5vLqxzOb1GvZZ4Q8gJ9dRQ+q0KHDYoG+3xKVdGGFAYK9ZWRQRuDnz1Ja5QCY78NGJ544TeP9aVw==" saltValue="HSMhaeke1J004mZTlyvU3g==" spinCount="100000" sheet="1" objects="1" scenarios="1"/>
  <mergeCells count="72">
    <mergeCell ref="CM5:CM6"/>
    <mergeCell ref="CN5:CN6"/>
    <mergeCell ref="CO5:CO6"/>
    <mergeCell ref="CQ5:CQ6"/>
    <mergeCell ref="CR5:CR6"/>
    <mergeCell ref="CL5:CL6"/>
    <mergeCell ref="BZ5:BZ6"/>
    <mergeCell ref="CA5:CA6"/>
    <mergeCell ref="CB5:CB6"/>
    <mergeCell ref="CC5:CC6"/>
    <mergeCell ref="CD5:CD6"/>
    <mergeCell ref="CE5:CE6"/>
    <mergeCell ref="CF5:CF6"/>
    <mergeCell ref="CG5:CG6"/>
    <mergeCell ref="CI5:CI6"/>
    <mergeCell ref="CJ5:CJ6"/>
    <mergeCell ref="CK5:CK6"/>
    <mergeCell ref="AL5:AL6"/>
    <mergeCell ref="AM5:AM6"/>
    <mergeCell ref="BY5:BY6"/>
    <mergeCell ref="BM5:BM6"/>
    <mergeCell ref="BN5:BN6"/>
    <mergeCell ref="BO5:BO6"/>
    <mergeCell ref="BP5:BP6"/>
    <mergeCell ref="BQ5:BQ6"/>
    <mergeCell ref="BR5:BR6"/>
    <mergeCell ref="BS5:BS6"/>
    <mergeCell ref="BT5:BT6"/>
    <mergeCell ref="BU5:BU6"/>
    <mergeCell ref="BV5:BV6"/>
    <mergeCell ref="BX5:BX6"/>
    <mergeCell ref="CI4:CJ4"/>
    <mergeCell ref="M5:M6"/>
    <mergeCell ref="N5:O5"/>
    <mergeCell ref="P5:Q5"/>
    <mergeCell ref="R5:R6"/>
    <mergeCell ref="S5:S6"/>
    <mergeCell ref="AN5:AN6"/>
    <mergeCell ref="AA5:AA6"/>
    <mergeCell ref="AB5:AB6"/>
    <mergeCell ref="AC5:AC6"/>
    <mergeCell ref="AD5:AD6"/>
    <mergeCell ref="AE5:AE6"/>
    <mergeCell ref="AF5:AG5"/>
    <mergeCell ref="AH5:AH6"/>
    <mergeCell ref="AI5:AJ5"/>
    <mergeCell ref="AK5:AK6"/>
    <mergeCell ref="CK4:CL4"/>
    <mergeCell ref="CM4:CN4"/>
    <mergeCell ref="N4:Y4"/>
    <mergeCell ref="Z4:AG4"/>
    <mergeCell ref="AH4:AN4"/>
    <mergeCell ref="AO4:AO6"/>
    <mergeCell ref="AP4:AP6"/>
    <mergeCell ref="AV4:BC4"/>
    <mergeCell ref="U5:U6"/>
    <mergeCell ref="V5:W5"/>
    <mergeCell ref="X5:Y5"/>
    <mergeCell ref="Z5:Z6"/>
    <mergeCell ref="T5:T6"/>
    <mergeCell ref="BE4:BK4"/>
    <mergeCell ref="BM4:BV4"/>
    <mergeCell ref="BX4:CG4"/>
    <mergeCell ref="L4:L6"/>
    <mergeCell ref="G5:G6"/>
    <mergeCell ref="H5:H6"/>
    <mergeCell ref="I5:I6"/>
    <mergeCell ref="B4:B6"/>
    <mergeCell ref="C4:C6"/>
    <mergeCell ref="G4:H4"/>
    <mergeCell ref="J4:J6"/>
    <mergeCell ref="K4:K6"/>
  </mergeCells>
  <dataValidations count="13">
    <dataValidation type="list" allowBlank="1" showInputMessage="1" showErrorMessage="1" promptTitle="Meio de Transporte" prompt="Selecionar Opção" sqref="AM8:AN36">
      <formula1>$C$120:$C$124</formula1>
    </dataValidation>
    <dataValidation type="list" allowBlank="1" showInputMessage="1" showErrorMessage="1" promptTitle="Situação dos Planos" prompt="Selecionar uma das opções da lista." sqref="D7:D36">
      <formula1>#REF!</formula1>
    </dataValidation>
    <dataValidation allowBlank="1" showInputMessage="1" showErrorMessage="1" prompt="Média de Diárias por Evento / Atividade" sqref="AB7:AB36"/>
    <dataValidation allowBlank="1" showInputMessage="1" showErrorMessage="1" prompt="Média de KM que será consumida por Evento/Atividade" sqref="AA7:AA36"/>
    <dataValidation allowBlank="1" showInputMessage="1" showErrorMessage="1" prompt="Quantidade de Eventos/Atividades semelhantes que irão ocorrer no Período (ano)" sqref="Z7:Z36"/>
    <dataValidation type="whole" allowBlank="1" showInputMessage="1" showErrorMessage="1" errorTitle="MÉDIA HORAS de DISPONIBILIDADE" error="Informar MÉDIA de HORAS, por Eventos/Atividades, que o Veículo ficará à disposição da UFFS.._x000a_Somente NUMEROS inteiros, sem complementações" promptTitle="MÉDIA Horas de Disponibilidade" prompt="Informe quantidade Média de Horas por eventos/atividades, em que o Veículo ficará à disposição da UFFS." sqref="AD7:AD36 AM7:AN7">
      <formula1>1</formula1>
      <formula2>10000</formula2>
    </dataValidation>
    <dataValidation type="whole" allowBlank="1" showInputMessage="1" showErrorMessage="1" errorTitle="VALOR PASSAGENS" error="Informar o Valor das Passagens - IDA e VOLTA - dos contemplados com esse recurso, sem centavos" promptTitle="Passagens Aéreas" prompt="Informar Valor" sqref="AI7:AI36">
      <formula1>0</formula1>
      <formula2>30000</formula2>
    </dataValidation>
    <dataValidation type="whole" allowBlank="1" showInputMessage="1" showErrorMessage="1" errorTitle="VALOR PASSAGENS" error="Informar o Valor das Passagens - IDA e VOLTA - dos contemplados com esse recurso, sem centavos" promptTitle="Passagens Rodoviárias" prompt="Informar Valor" sqref="AJ7:AJ36">
      <formula1>0</formula1>
      <formula2>30000</formula2>
    </dataValidation>
    <dataValidation type="whole" allowBlank="1" showInputMessage="1" showErrorMessage="1" errorTitle="TAXA DESLOCAMENTO" error="Para QUANTOS Servidores ou Convidados será autorizado o pagamento de Taxa de Deslocamento (Embarque/Desembarque)" promptTitle="Taxa Deslocamento" prompt="Quantas Pessoas viajarão com Passagens (Aéreas ou Rodoviárias)" sqref="AK7:AK36">
      <formula1>0</formula1>
      <formula2>30</formula2>
    </dataValidation>
    <dataValidation type="time" allowBlank="1" showInputMessage="1" showErrorMessage="1" errorTitle="FORMATO DE HORA" error="Informar HORA no formato: hh:mm" promptTitle="Formato de Hora" prompt="hh:mm" sqref="O7:O36 Q7:Q36">
      <formula1>0.000694444444444444</formula1>
      <formula2>0.999305555555556</formula2>
    </dataValidation>
    <dataValidation type="date" allowBlank="1" showInputMessage="1" showErrorMessage="1" errorTitle="DATA" error="Informar Datas do ano de 2025, no formato: dd/mm/aaaa" promptTitle="Formato de Data" prompt="dd/mm/aaaa" sqref="N7:N36 P7:P36">
      <formula1>45658</formula1>
      <formula2>46022</formula2>
    </dataValidation>
    <dataValidation allowBlank="1" showInputMessage="1" showErrorMessage="1" prompt="Se, &quot;Situação dos Planos&quot;: 4-Substituído = Informe os dados do Plano Substituto (Ex. Quantidade de diárias, quilometragem, destino da viagem etc. neste campo, sem alterar os dados originais); 5-Cancelado = Justifique o cancelamento do Plano de Ação." sqref="F7:F36"/>
    <dataValidation type="decimal" allowBlank="1" showInputMessage="1" showErrorMessage="1" prompt="Para: 1-Não Executado = Informar 0%; 2-Em Execução = Informar de 1% a 99%; 3-Executado = Informar 100%; 4-Substituído = Preencher a Coluna &quot;Comentários/justificativas&quot;; 5-Cancelado = Preencher a Coluna &quot;Comentários/justificativas&quot;." sqref="E7:E36">
      <formula1>0</formula1>
      <formula2>1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Title="Tipo de Viagem" prompt="Selecionar Opção">
          <x14:formula1>
            <xm:f>'AUX2'!$C$62:$C$71</xm:f>
          </x14:formula1>
          <xm:sqref>G7:G36</xm:sqref>
        </x14:dataValidation>
        <x14:dataValidation type="list" allowBlank="1" showInputMessage="1" showErrorMessage="1" promptTitle="Tipo de Atividade" prompt="Selecionar Opção">
          <x14:formula1>
            <xm:f>'AUX2'!$C$98:$C$102</xm:f>
          </x14:formula1>
          <xm:sqref>H7:H36</xm:sqref>
        </x14:dataValidation>
        <x14:dataValidation type="list" operator="equal" allowBlank="1" showInputMessage="1" showErrorMessage="1" promptTitle="Dimensões" prompt="Selecionar Opção">
          <x14:formula1>
            <xm:f>'AUX2'!$G$97:$G$103</xm:f>
          </x14:formula1>
          <xm:sqref>I7:I36</xm:sqref>
        </x14:dataValidation>
        <x14:dataValidation type="list" allowBlank="1" showInputMessage="1" showErrorMessage="1" promptTitle="Meio de Transporte" prompt="Selecionar Opção">
          <x14:formula1>
            <xm:f>'AUX2'!$C$121:$C$125</xm:f>
          </x14:formula1>
          <xm:sqref>T7:T36 AC7:AC36 AL7:AL36</xm:sqref>
        </x14:dataValidation>
        <x14:dataValidation type="list" allowBlank="1" showInputMessage="1" showErrorMessage="1" error="Escolha o período na Lista Suspensa" promptTitle="Período de Execução" prompt="Espaço Temporal em que os Eventos/Atividades irão acontecer. Exemplo: Início em MARÇO e Final em MAIO - (Selecionar Opção)">
          <x14:formula1>
            <xm:f>'AUX2'!$J$97:$J$108</xm:f>
          </x14:formula1>
          <xm:sqref>AF7:AG36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/>
  </sheetPr>
  <dimension ref="A2:BM23"/>
  <sheetViews>
    <sheetView showGridLines="0" zoomScale="80" zoomScaleNormal="80" workbookViewId="0"/>
  </sheetViews>
  <sheetFormatPr defaultColWidth="11.5703125" defaultRowHeight="15" x14ac:dyDescent="0.25"/>
  <cols>
    <col min="1" max="1" width="5.42578125" style="18" customWidth="1"/>
    <col min="2" max="2" width="7.5703125" style="18" customWidth="1"/>
    <col min="3" max="3" width="25.28515625" style="18" customWidth="1"/>
    <col min="4" max="4" width="18.140625" style="18" hidden="1" customWidth="1"/>
    <col min="5" max="5" width="12.28515625" style="18" hidden="1" customWidth="1"/>
    <col min="6" max="6" width="50.42578125" style="18" hidden="1" customWidth="1"/>
    <col min="7" max="7" width="23.42578125" style="11" customWidth="1"/>
    <col min="8" max="8" width="14.7109375" style="18" customWidth="1"/>
    <col min="9" max="9" width="17.28515625" style="18" customWidth="1"/>
    <col min="10" max="10" width="30.85546875" style="18" customWidth="1"/>
    <col min="11" max="11" width="33.7109375" style="18" customWidth="1"/>
    <col min="12" max="12" width="20.7109375" style="18" customWidth="1"/>
    <col min="13" max="14" width="12.7109375" style="18" customWidth="1"/>
    <col min="15" max="15" width="34.140625" style="18" customWidth="1"/>
    <col min="16" max="16" width="8.5703125" style="18" customWidth="1"/>
    <col min="17" max="18" width="12.42578125" style="18" customWidth="1"/>
    <col min="19" max="19" width="13.28515625" style="18" customWidth="1"/>
    <col min="20" max="20" width="18.140625" style="320" customWidth="1"/>
    <col min="21" max="21" width="16.5703125" style="320" customWidth="1"/>
    <col min="22" max="22" width="16.5703125" style="18" customWidth="1"/>
    <col min="23" max="26" width="11.7109375" style="18" customWidth="1"/>
    <col min="27" max="27" width="27" style="18" customWidth="1"/>
    <col min="28" max="28" width="59.85546875" style="18" customWidth="1"/>
    <col min="29" max="29" width="8.85546875" style="18" hidden="1" customWidth="1"/>
    <col min="30" max="33" width="11.5703125" style="18" hidden="1" customWidth="1"/>
    <col min="34" max="34" width="11.5703125" style="22" hidden="1" customWidth="1"/>
    <col min="35" max="35" width="10.42578125" style="22" hidden="1" customWidth="1"/>
    <col min="36" max="40" width="11.5703125" style="22" hidden="1" customWidth="1"/>
    <col min="41" max="41" width="11.5703125" style="321" hidden="1" customWidth="1"/>
    <col min="42" max="42" width="11.5703125" style="22" hidden="1" customWidth="1"/>
    <col min="43" max="44" width="10" style="22" hidden="1" customWidth="1"/>
    <col min="45" max="45" width="13.42578125" style="22" hidden="1" customWidth="1"/>
    <col min="46" max="46" width="11.5703125" style="22" hidden="1" customWidth="1"/>
    <col min="47" max="49" width="10.7109375" style="22" hidden="1" customWidth="1"/>
    <col min="50" max="51" width="10.7109375" style="18" hidden="1" customWidth="1"/>
    <col min="52" max="52" width="16" style="18" hidden="1" customWidth="1"/>
    <col min="53" max="53" width="10.7109375" style="18" hidden="1" customWidth="1"/>
    <col min="54" max="54" width="6.7109375" style="18" customWidth="1"/>
    <col min="55" max="55" width="15.7109375" style="18" customWidth="1"/>
    <col min="56" max="56" width="52.7109375" style="18" customWidth="1"/>
    <col min="57" max="65" width="8.5703125" style="18" customWidth="1"/>
    <col min="66" max="16384" width="11.5703125" style="18"/>
  </cols>
  <sheetData>
    <row r="2" spans="1:65" ht="19.5" thickBot="1" x14ac:dyDescent="0.3">
      <c r="B2" s="23" t="s">
        <v>302</v>
      </c>
      <c r="C2" s="23"/>
      <c r="D2" s="23"/>
      <c r="E2" s="23"/>
      <c r="F2" s="23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322" t="s">
        <v>44</v>
      </c>
      <c r="AA2" s="323" t="e">
        <f>VLOOKUP(IDENTIFICAÇÃO!C7,'AUX2'!C7:F57,3,FALSE)</f>
        <v>#N/A</v>
      </c>
      <c r="AB2" s="22"/>
      <c r="AD2" s="22"/>
      <c r="AE2" s="22"/>
      <c r="AF2" s="22"/>
      <c r="AX2" s="22"/>
      <c r="AY2" s="22"/>
      <c r="AZ2" s="22"/>
    </row>
    <row r="3" spans="1:65" x14ac:dyDescent="0.25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D3" s="22"/>
      <c r="AE3" s="22"/>
      <c r="AF3" s="22"/>
      <c r="AX3" s="22"/>
      <c r="AY3" s="22"/>
      <c r="AZ3" s="22"/>
    </row>
    <row r="4" spans="1:65" ht="15.75" thickBot="1" x14ac:dyDescent="0.3"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523" t="s">
        <v>303</v>
      </c>
      <c r="V4" s="523"/>
      <c r="W4" s="523"/>
      <c r="X4" s="523"/>
      <c r="Y4" s="523"/>
      <c r="Z4" s="523"/>
      <c r="AA4" s="22"/>
      <c r="AB4" s="22"/>
      <c r="AD4" s="22"/>
      <c r="AE4" s="22"/>
      <c r="AF4" s="22"/>
      <c r="AH4" s="18"/>
      <c r="AI4" s="18"/>
      <c r="AJ4" s="18"/>
      <c r="AK4" s="18"/>
      <c r="AU4" s="470" t="s">
        <v>393</v>
      </c>
      <c r="AV4" s="470"/>
      <c r="AW4" s="470" t="s">
        <v>411</v>
      </c>
      <c r="AX4" s="470"/>
      <c r="AY4" s="470" t="s">
        <v>392</v>
      </c>
      <c r="AZ4" s="470"/>
      <c r="BA4" s="243" t="s">
        <v>449</v>
      </c>
      <c r="BC4" s="243" t="s">
        <v>449</v>
      </c>
      <c r="BD4" s="243" t="s">
        <v>537</v>
      </c>
    </row>
    <row r="5" spans="1:65" ht="15.75" thickBot="1" x14ac:dyDescent="0.3">
      <c r="B5" s="524" t="s">
        <v>260</v>
      </c>
      <c r="C5" s="526" t="s">
        <v>261</v>
      </c>
      <c r="D5" s="528" t="s">
        <v>262</v>
      </c>
      <c r="E5" s="528"/>
      <c r="F5" s="528"/>
      <c r="G5" s="529" t="s">
        <v>263</v>
      </c>
      <c r="H5" s="529"/>
      <c r="I5" s="324" t="s">
        <v>264</v>
      </c>
      <c r="J5" s="530" t="s">
        <v>265</v>
      </c>
      <c r="K5" s="530" t="s">
        <v>266</v>
      </c>
      <c r="L5" s="110" t="s">
        <v>414</v>
      </c>
      <c r="M5" s="529" t="s">
        <v>304</v>
      </c>
      <c r="N5" s="529"/>
      <c r="O5" s="529" t="s">
        <v>273</v>
      </c>
      <c r="P5" s="529"/>
      <c r="Q5" s="530" t="s">
        <v>269</v>
      </c>
      <c r="R5" s="529" t="s">
        <v>305</v>
      </c>
      <c r="S5" s="529"/>
      <c r="T5" s="529"/>
      <c r="U5" s="533" t="s">
        <v>306</v>
      </c>
      <c r="V5" s="533"/>
      <c r="W5" s="533" t="s">
        <v>267</v>
      </c>
      <c r="X5" s="533"/>
      <c r="Y5" s="533" t="s">
        <v>268</v>
      </c>
      <c r="Z5" s="533"/>
      <c r="AA5" s="530" t="s">
        <v>275</v>
      </c>
      <c r="AB5" s="531" t="s">
        <v>276</v>
      </c>
      <c r="AD5" s="256" t="s">
        <v>277</v>
      </c>
      <c r="AE5" s="256" t="s">
        <v>277</v>
      </c>
      <c r="AF5" s="256" t="s">
        <v>277</v>
      </c>
      <c r="AH5" s="534" t="s">
        <v>393</v>
      </c>
      <c r="AI5" s="534"/>
      <c r="AJ5" s="18"/>
      <c r="AK5" s="18"/>
      <c r="AQ5" s="535" t="s">
        <v>278</v>
      </c>
      <c r="AR5" s="535" t="s">
        <v>279</v>
      </c>
      <c r="AS5" s="535" t="s">
        <v>280</v>
      </c>
      <c r="AU5" s="451" t="s">
        <v>393</v>
      </c>
      <c r="AV5" s="451" t="s">
        <v>447</v>
      </c>
      <c r="AW5" s="451" t="s">
        <v>446</v>
      </c>
      <c r="AX5" s="451" t="s">
        <v>448</v>
      </c>
      <c r="AY5" s="451" t="s">
        <v>392</v>
      </c>
      <c r="AZ5" s="451" t="s">
        <v>395</v>
      </c>
      <c r="BA5" s="451" t="s">
        <v>258</v>
      </c>
      <c r="BC5" s="451" t="s">
        <v>258</v>
      </c>
      <c r="BD5" s="451" t="s">
        <v>536</v>
      </c>
    </row>
    <row r="6" spans="1:65" ht="30.75" thickBot="1" x14ac:dyDescent="0.3">
      <c r="A6" s="11"/>
      <c r="B6" s="525"/>
      <c r="C6" s="527"/>
      <c r="D6" s="71" t="s">
        <v>281</v>
      </c>
      <c r="E6" s="71" t="s">
        <v>282</v>
      </c>
      <c r="F6" s="71" t="s">
        <v>283</v>
      </c>
      <c r="G6" s="325" t="s">
        <v>307</v>
      </c>
      <c r="H6" s="325" t="s">
        <v>284</v>
      </c>
      <c r="I6" s="325" t="s">
        <v>285</v>
      </c>
      <c r="J6" s="530"/>
      <c r="K6" s="530"/>
      <c r="L6" s="326" t="s">
        <v>416</v>
      </c>
      <c r="M6" s="325" t="s">
        <v>308</v>
      </c>
      <c r="N6" s="325" t="s">
        <v>309</v>
      </c>
      <c r="O6" s="325" t="s">
        <v>288</v>
      </c>
      <c r="P6" s="325" t="s">
        <v>289</v>
      </c>
      <c r="Q6" s="530"/>
      <c r="R6" s="327" t="s">
        <v>278</v>
      </c>
      <c r="S6" s="327" t="s">
        <v>279</v>
      </c>
      <c r="T6" s="327" t="s">
        <v>280</v>
      </c>
      <c r="U6" s="72" t="s">
        <v>270</v>
      </c>
      <c r="V6" s="72" t="s">
        <v>271</v>
      </c>
      <c r="W6" s="72" t="s">
        <v>286</v>
      </c>
      <c r="X6" s="72" t="s">
        <v>287</v>
      </c>
      <c r="Y6" s="72" t="s">
        <v>286</v>
      </c>
      <c r="Z6" s="72" t="s">
        <v>287</v>
      </c>
      <c r="AA6" s="530"/>
      <c r="AB6" s="532"/>
      <c r="AC6" s="11"/>
      <c r="AD6" s="258" t="s">
        <v>290</v>
      </c>
      <c r="AE6" s="258" t="s">
        <v>291</v>
      </c>
      <c r="AF6" s="258" t="s">
        <v>292</v>
      </c>
      <c r="AG6" s="11"/>
      <c r="AH6" s="29" t="s">
        <v>293</v>
      </c>
      <c r="AI6" s="29" t="s">
        <v>294</v>
      </c>
      <c r="AJ6" s="29" t="s">
        <v>295</v>
      </c>
      <c r="AK6" s="29" t="s">
        <v>296</v>
      </c>
      <c r="AL6" s="29" t="s">
        <v>16</v>
      </c>
      <c r="AM6" s="29" t="s">
        <v>297</v>
      </c>
      <c r="AN6" s="29" t="s">
        <v>298</v>
      </c>
      <c r="AO6" s="30" t="s">
        <v>299</v>
      </c>
      <c r="AP6" s="29" t="s">
        <v>300</v>
      </c>
      <c r="AQ6" s="535"/>
      <c r="AR6" s="535"/>
      <c r="AS6" s="535"/>
      <c r="AT6" s="29"/>
      <c r="AU6" s="522"/>
      <c r="AV6" s="522"/>
      <c r="AW6" s="522"/>
      <c r="AX6" s="522"/>
      <c r="AY6" s="522"/>
      <c r="AZ6" s="522"/>
      <c r="BA6" s="522"/>
      <c r="BB6" s="11"/>
      <c r="BC6" s="522"/>
      <c r="BD6" s="522"/>
      <c r="BE6" s="11"/>
      <c r="BF6" s="11"/>
      <c r="BG6" s="11"/>
      <c r="BH6" s="11"/>
      <c r="BI6" s="11"/>
      <c r="BJ6" s="11"/>
      <c r="BK6" s="11"/>
      <c r="BL6" s="11"/>
      <c r="BM6" s="11"/>
    </row>
    <row r="7" spans="1:65" ht="15.75" thickBot="1" x14ac:dyDescent="0.3">
      <c r="A7" s="22"/>
      <c r="B7" s="328">
        <v>1</v>
      </c>
      <c r="C7" s="329" t="str">
        <f>IF(G7="","",CONCATENATE($AA$2," - ",TEXT(B7,"00"),AE7," - ",AD7,"-",AF7))</f>
        <v/>
      </c>
      <c r="D7" s="330"/>
      <c r="E7" s="331"/>
      <c r="F7" s="332"/>
      <c r="G7" s="124"/>
      <c r="H7" s="208"/>
      <c r="I7" s="125"/>
      <c r="J7" s="124"/>
      <c r="K7" s="124"/>
      <c r="L7" s="206"/>
      <c r="M7" s="126"/>
      <c r="N7" s="126"/>
      <c r="O7" s="208"/>
      <c r="P7" s="209"/>
      <c r="Q7" s="210"/>
      <c r="R7" s="211"/>
      <c r="S7" s="211"/>
      <c r="T7" s="209"/>
      <c r="U7" s="209"/>
      <c r="V7" s="124"/>
      <c r="W7" s="126"/>
      <c r="X7" s="127"/>
      <c r="Y7" s="128"/>
      <c r="Z7" s="127"/>
      <c r="AA7" s="208"/>
      <c r="AB7" s="212"/>
      <c r="AD7" s="265" t="str">
        <f>IF(G7="","",VLOOKUP(G7,'AUX2'!$C$62:$G$93,2,0))</f>
        <v/>
      </c>
      <c r="AE7" s="265" t="str">
        <f>IF(G7="","",VLOOKUP(G7,'AUX2'!$C$62:$G$93,3,0))</f>
        <v/>
      </c>
      <c r="AF7" s="265" t="str">
        <f>IF(H7="","",VLOOKUP(H7,'AUX2'!$C$98:$D$102,2,0))</f>
        <v/>
      </c>
      <c r="AH7" s="333" t="str">
        <f t="shared" ref="AH7:AH21" si="0">IF(Q7="","",Q7)</f>
        <v/>
      </c>
      <c r="AI7" s="334" t="str">
        <f>IF(AH7="","",AH7*'AUX2'!$K$129)</f>
        <v/>
      </c>
      <c r="AJ7" s="335" t="str">
        <f t="shared" ref="AJ7:AJ21" si="1">IF(U7="","",U7)</f>
        <v/>
      </c>
      <c r="AK7" s="336" t="str">
        <f>IF(AJ7="","",VLOOKUP(V7,'AUX2'!$C$121:$E$125,2,0))</f>
        <v/>
      </c>
      <c r="AL7" s="336" t="str">
        <f>IF(AJ7="","",AJ7*AK7)</f>
        <v/>
      </c>
      <c r="AM7" s="335" t="str">
        <f t="shared" ref="AM7:AM21" si="2">IF(AJ7="","",ROUND(((Y7+Z7)-(W7+X7))*24,0))</f>
        <v/>
      </c>
      <c r="AN7" s="333" t="str">
        <f>IF(AJ7="","",VLOOKUP(V7,'AUX2'!$C$121:$E$125,3,0))</f>
        <v/>
      </c>
      <c r="AO7" s="336">
        <f>IF(AJ7&lt;=300,'AUX2'!$D$129,IF(AND(AJ7&gt;300,AJ7&lt;=600),'AUX2'!$D$130,IF(AND(AJ7&gt;600,AJ7&lt;=900),'AUX2'!$D$131,IF(AND(AJ7&gt;900,AJ7&lt;=1200),'AUX2'!$D$132,IF(AND(AJ7&gt;1200,AJ7&lt;=1500),'AUX2'!$D$133,IF(AJ7&gt;1500,'AUX2'!$D$134))))))</f>
        <v>0</v>
      </c>
      <c r="AP7" s="335">
        <f>IF(AM7="",0,AM7*AN7*AO7)</f>
        <v>0</v>
      </c>
      <c r="AQ7" s="336">
        <f t="shared" ref="AQ7:AR21" si="3">R7</f>
        <v>0</v>
      </c>
      <c r="AR7" s="336">
        <f t="shared" si="3"/>
        <v>0</v>
      </c>
      <c r="AS7" s="335">
        <f>T7*'AUX2'!$K$137</f>
        <v>0</v>
      </c>
      <c r="AU7" s="337" t="str">
        <f>AI7</f>
        <v/>
      </c>
      <c r="AV7" s="338">
        <f>AS7</f>
        <v>0</v>
      </c>
      <c r="AW7" s="338">
        <f>AQ7</f>
        <v>0</v>
      </c>
      <c r="AX7" s="338">
        <f>AR7</f>
        <v>0</v>
      </c>
      <c r="AY7" s="339" t="str">
        <f>AL7</f>
        <v/>
      </c>
      <c r="AZ7" s="340">
        <f>AP7</f>
        <v>0</v>
      </c>
      <c r="BA7" s="341">
        <f>SUM(AU7:AZ7)</f>
        <v>0</v>
      </c>
      <c r="BC7" s="291" t="str">
        <f>IF(BA7&gt;0,BA7,"")</f>
        <v/>
      </c>
      <c r="BD7" s="392"/>
    </row>
    <row r="8" spans="1:65" ht="15.75" thickBot="1" x14ac:dyDescent="0.3">
      <c r="A8" s="22"/>
      <c r="B8" s="65">
        <v>2</v>
      </c>
      <c r="C8" s="342" t="str">
        <f t="shared" ref="C8:C21" si="4">IF(G8="","",CONCATENATE($AA$2," - ",TEXT(B8,"00"),AE8," - ",AD8,"-",AF8))</f>
        <v/>
      </c>
      <c r="D8" s="76"/>
      <c r="E8" s="77"/>
      <c r="F8" s="78"/>
      <c r="G8" s="79"/>
      <c r="H8" s="80"/>
      <c r="I8" s="81"/>
      <c r="J8" s="79"/>
      <c r="K8" s="79"/>
      <c r="L8" s="207"/>
      <c r="M8" s="126"/>
      <c r="N8" s="126"/>
      <c r="O8" s="80"/>
      <c r="P8" s="70"/>
      <c r="Q8" s="143"/>
      <c r="R8" s="69"/>
      <c r="S8" s="69"/>
      <c r="T8" s="70"/>
      <c r="U8" s="70"/>
      <c r="V8" s="124"/>
      <c r="W8" s="126"/>
      <c r="X8" s="127"/>
      <c r="Y8" s="128"/>
      <c r="Z8" s="127"/>
      <c r="AA8" s="80"/>
      <c r="AB8" s="82"/>
      <c r="AD8" s="265" t="str">
        <f>IF(G8="","",VLOOKUP(G8,'AUX2'!$C$62:$G$93,2,0))</f>
        <v/>
      </c>
      <c r="AE8" s="265" t="str">
        <f>IF(G8="","",VLOOKUP(G8,'AUX2'!$C$62:$G$93,3,0))</f>
        <v/>
      </c>
      <c r="AF8" s="265" t="str">
        <f>IF(H8="","",VLOOKUP(H8,'AUX2'!$C$98:$D$102,2,0))</f>
        <v/>
      </c>
      <c r="AH8" s="333" t="str">
        <f t="shared" si="0"/>
        <v/>
      </c>
      <c r="AI8" s="334" t="str">
        <f>IF(AH8="","",AH8*'AUX2'!$K$129)</f>
        <v/>
      </c>
      <c r="AJ8" s="335" t="str">
        <f t="shared" si="1"/>
        <v/>
      </c>
      <c r="AK8" s="336" t="str">
        <f>IF(AJ8="","",VLOOKUP(V8,'AUX2'!$C$121:$E$125,2,0))</f>
        <v/>
      </c>
      <c r="AL8" s="336" t="str">
        <f t="shared" ref="AL8:AL21" si="5">IF(AJ8="","",AJ8*AK8)</f>
        <v/>
      </c>
      <c r="AM8" s="335" t="str">
        <f t="shared" si="2"/>
        <v/>
      </c>
      <c r="AN8" s="333" t="str">
        <f>IF(AJ8="","",VLOOKUP(V8,'AUX2'!$C$121:$E$125,3,0))</f>
        <v/>
      </c>
      <c r="AO8" s="336">
        <f>IF(AJ8&lt;=300,'AUX2'!$D$129,IF(AND(AJ8&gt;300,AJ8&lt;=600),'AUX2'!$D$130,IF(AND(AJ8&gt;600,AJ8&lt;=900),'AUX2'!$D$131,IF(AND(AJ8&gt;900,AJ8&lt;=1200),'AUX2'!$D$132,IF(AND(AJ8&gt;1200,AJ8&lt;=1500),'AUX2'!$D$133,IF(AJ8&gt;1500,'AUX2'!$D$134))))))</f>
        <v>0</v>
      </c>
      <c r="AP8" s="335">
        <f t="shared" ref="AP8:AP21" si="6">IF(AM8="",0,AM8*AN8*AO8)</f>
        <v>0</v>
      </c>
      <c r="AQ8" s="336">
        <f t="shared" si="3"/>
        <v>0</v>
      </c>
      <c r="AR8" s="336">
        <f t="shared" si="3"/>
        <v>0</v>
      </c>
      <c r="AS8" s="335">
        <f>T8*'AUX2'!$K$137</f>
        <v>0</v>
      </c>
      <c r="AU8" s="337" t="str">
        <f t="shared" ref="AU8:AU21" si="7">AI8</f>
        <v/>
      </c>
      <c r="AV8" s="338">
        <f t="shared" ref="AV8:AV21" si="8">AS8</f>
        <v>0</v>
      </c>
      <c r="AW8" s="338">
        <f t="shared" ref="AW8:AW21" si="9">AQ8</f>
        <v>0</v>
      </c>
      <c r="AX8" s="338">
        <f t="shared" ref="AX8:AX21" si="10">AR8</f>
        <v>0</v>
      </c>
      <c r="AY8" s="339" t="str">
        <f t="shared" ref="AY8:AY21" si="11">AL8</f>
        <v/>
      </c>
      <c r="AZ8" s="340">
        <f t="shared" ref="AZ8:AZ21" si="12">AP8</f>
        <v>0</v>
      </c>
      <c r="BA8" s="341">
        <f t="shared" ref="BA8:BA21" si="13">SUM(AU8:AZ8)</f>
        <v>0</v>
      </c>
      <c r="BC8" s="291" t="str">
        <f t="shared" ref="BC8:BC21" si="14">IF(BA8&gt;0,BA8,"")</f>
        <v/>
      </c>
      <c r="BD8" s="392"/>
    </row>
    <row r="9" spans="1:65" ht="15.75" thickBot="1" x14ac:dyDescent="0.3">
      <c r="A9" s="22"/>
      <c r="B9" s="65">
        <v>3</v>
      </c>
      <c r="C9" s="342" t="str">
        <f t="shared" si="4"/>
        <v/>
      </c>
      <c r="D9" s="76"/>
      <c r="E9" s="77"/>
      <c r="F9" s="78"/>
      <c r="G9" s="79"/>
      <c r="H9" s="80"/>
      <c r="I9" s="81"/>
      <c r="J9" s="79"/>
      <c r="K9" s="79"/>
      <c r="L9" s="207"/>
      <c r="M9" s="126"/>
      <c r="N9" s="126"/>
      <c r="O9" s="80"/>
      <c r="P9" s="70"/>
      <c r="Q9" s="143"/>
      <c r="R9" s="69"/>
      <c r="S9" s="69"/>
      <c r="T9" s="70"/>
      <c r="U9" s="70"/>
      <c r="V9" s="124"/>
      <c r="W9" s="126"/>
      <c r="X9" s="127"/>
      <c r="Y9" s="128"/>
      <c r="Z9" s="127"/>
      <c r="AA9" s="80"/>
      <c r="AB9" s="82"/>
      <c r="AD9" s="265" t="str">
        <f>IF(G9="","",VLOOKUP(G9,'AUX2'!$C$62:$G$93,2,0))</f>
        <v/>
      </c>
      <c r="AE9" s="265" t="str">
        <f>IF(G9="","",VLOOKUP(G9,'AUX2'!$C$62:$G$93,3,0))</f>
        <v/>
      </c>
      <c r="AF9" s="265" t="str">
        <f>IF(H9="","",VLOOKUP(H9,'AUX2'!$C$98:$D$102,2,0))</f>
        <v/>
      </c>
      <c r="AH9" s="333" t="str">
        <f t="shared" si="0"/>
        <v/>
      </c>
      <c r="AI9" s="334" t="str">
        <f>IF(AH9="","",AH9*'AUX2'!$K$129)</f>
        <v/>
      </c>
      <c r="AJ9" s="335" t="str">
        <f t="shared" si="1"/>
        <v/>
      </c>
      <c r="AK9" s="336" t="str">
        <f>IF(AJ9="","",VLOOKUP(V9,'AUX2'!$C$121:$E$125,2,0))</f>
        <v/>
      </c>
      <c r="AL9" s="336" t="str">
        <f t="shared" si="5"/>
        <v/>
      </c>
      <c r="AM9" s="335" t="str">
        <f t="shared" si="2"/>
        <v/>
      </c>
      <c r="AN9" s="333" t="str">
        <f>IF(AJ9="","",VLOOKUP(V9,'AUX2'!$C$121:$E$125,3,0))</f>
        <v/>
      </c>
      <c r="AO9" s="336">
        <f>IF(AJ9&lt;=300,'AUX2'!$D$129,IF(AND(AJ9&gt;300,AJ9&lt;=600),'AUX2'!$D$130,IF(AND(AJ9&gt;600,AJ9&lt;=900),'AUX2'!$D$131,IF(AND(AJ9&gt;900,AJ9&lt;=1200),'AUX2'!$D$132,IF(AND(AJ9&gt;1200,AJ9&lt;=1500),'AUX2'!$D$133,IF(AJ9&gt;1500,'AUX2'!$D$134))))))</f>
        <v>0</v>
      </c>
      <c r="AP9" s="335">
        <f t="shared" si="6"/>
        <v>0</v>
      </c>
      <c r="AQ9" s="336">
        <f t="shared" si="3"/>
        <v>0</v>
      </c>
      <c r="AR9" s="336">
        <f t="shared" si="3"/>
        <v>0</v>
      </c>
      <c r="AS9" s="335">
        <f>T9*'AUX2'!$K$137</f>
        <v>0</v>
      </c>
      <c r="AU9" s="337" t="str">
        <f t="shared" si="7"/>
        <v/>
      </c>
      <c r="AV9" s="338">
        <f t="shared" si="8"/>
        <v>0</v>
      </c>
      <c r="AW9" s="338">
        <f t="shared" si="9"/>
        <v>0</v>
      </c>
      <c r="AX9" s="338">
        <f t="shared" si="10"/>
        <v>0</v>
      </c>
      <c r="AY9" s="339" t="str">
        <f t="shared" si="11"/>
        <v/>
      </c>
      <c r="AZ9" s="340">
        <f t="shared" si="12"/>
        <v>0</v>
      </c>
      <c r="BA9" s="341">
        <f t="shared" si="13"/>
        <v>0</v>
      </c>
      <c r="BC9" s="291" t="str">
        <f t="shared" si="14"/>
        <v/>
      </c>
      <c r="BD9" s="392"/>
    </row>
    <row r="10" spans="1:65" ht="15.75" thickBot="1" x14ac:dyDescent="0.3">
      <c r="B10" s="65">
        <v>4</v>
      </c>
      <c r="C10" s="342" t="str">
        <f t="shared" si="4"/>
        <v/>
      </c>
      <c r="D10" s="76"/>
      <c r="E10" s="77"/>
      <c r="F10" s="78"/>
      <c r="G10" s="79"/>
      <c r="H10" s="80"/>
      <c r="I10" s="81"/>
      <c r="J10" s="79"/>
      <c r="K10" s="79"/>
      <c r="L10" s="207"/>
      <c r="M10" s="126"/>
      <c r="N10" s="126"/>
      <c r="O10" s="80"/>
      <c r="P10" s="70"/>
      <c r="Q10" s="143"/>
      <c r="R10" s="69"/>
      <c r="S10" s="69"/>
      <c r="T10" s="70"/>
      <c r="U10" s="70"/>
      <c r="V10" s="124"/>
      <c r="W10" s="126"/>
      <c r="X10" s="127"/>
      <c r="Y10" s="128"/>
      <c r="Z10" s="127"/>
      <c r="AA10" s="80"/>
      <c r="AB10" s="83"/>
      <c r="AD10" s="265" t="str">
        <f>IF(G10="","",VLOOKUP(G10,'AUX2'!$C$62:$G$93,2,0))</f>
        <v/>
      </c>
      <c r="AE10" s="265" t="str">
        <f>IF(G10="","",VLOOKUP(G10,'AUX2'!$C$62:$G$93,3,0))</f>
        <v/>
      </c>
      <c r="AF10" s="265" t="str">
        <f>IF(H10="","",VLOOKUP(H10,'AUX2'!$C$98:$D$102,2,0))</f>
        <v/>
      </c>
      <c r="AH10" s="333" t="str">
        <f t="shared" si="0"/>
        <v/>
      </c>
      <c r="AI10" s="334" t="str">
        <f>IF(AH10="","",AH10*'AUX2'!$K$129)</f>
        <v/>
      </c>
      <c r="AJ10" s="335" t="str">
        <f t="shared" si="1"/>
        <v/>
      </c>
      <c r="AK10" s="336" t="str">
        <f>IF(AJ10="","",VLOOKUP(V10,'AUX2'!$C$121:$E$125,2,0))</f>
        <v/>
      </c>
      <c r="AL10" s="336" t="str">
        <f t="shared" si="5"/>
        <v/>
      </c>
      <c r="AM10" s="335" t="str">
        <f t="shared" si="2"/>
        <v/>
      </c>
      <c r="AN10" s="333" t="str">
        <f>IF(AJ10="","",VLOOKUP(V10,'AUX2'!$C$121:$E$125,3,0))</f>
        <v/>
      </c>
      <c r="AO10" s="336">
        <f>IF(AJ10&lt;=300,'AUX2'!$D$129,IF(AND(AJ10&gt;300,AJ10&lt;=600),'AUX2'!$D$130,IF(AND(AJ10&gt;600,AJ10&lt;=900),'AUX2'!$D$131,IF(AND(AJ10&gt;900,AJ10&lt;=1200),'AUX2'!$D$132,IF(AND(AJ10&gt;1200,AJ10&lt;=1500),'AUX2'!$D$133,IF(AJ10&gt;1500,'AUX2'!$D$134))))))</f>
        <v>0</v>
      </c>
      <c r="AP10" s="335">
        <f t="shared" si="6"/>
        <v>0</v>
      </c>
      <c r="AQ10" s="336">
        <f t="shared" si="3"/>
        <v>0</v>
      </c>
      <c r="AR10" s="336">
        <f t="shared" si="3"/>
        <v>0</v>
      </c>
      <c r="AS10" s="335">
        <f>T10*'AUX2'!$K$137</f>
        <v>0</v>
      </c>
      <c r="AU10" s="337" t="str">
        <f t="shared" si="7"/>
        <v/>
      </c>
      <c r="AV10" s="338">
        <f t="shared" si="8"/>
        <v>0</v>
      </c>
      <c r="AW10" s="338">
        <f t="shared" si="9"/>
        <v>0</v>
      </c>
      <c r="AX10" s="338">
        <f t="shared" si="10"/>
        <v>0</v>
      </c>
      <c r="AY10" s="339" t="str">
        <f t="shared" si="11"/>
        <v/>
      </c>
      <c r="AZ10" s="340">
        <f t="shared" si="12"/>
        <v>0</v>
      </c>
      <c r="BA10" s="341">
        <f t="shared" si="13"/>
        <v>0</v>
      </c>
      <c r="BC10" s="291" t="str">
        <f t="shared" si="14"/>
        <v/>
      </c>
      <c r="BD10" s="392"/>
    </row>
    <row r="11" spans="1:65" ht="15.75" thickBot="1" x14ac:dyDescent="0.3">
      <c r="B11" s="65">
        <v>5</v>
      </c>
      <c r="C11" s="342" t="str">
        <f t="shared" si="4"/>
        <v/>
      </c>
      <c r="D11" s="76"/>
      <c r="E11" s="77"/>
      <c r="F11" s="78"/>
      <c r="G11" s="79"/>
      <c r="H11" s="80"/>
      <c r="I11" s="81"/>
      <c r="J11" s="79"/>
      <c r="K11" s="79"/>
      <c r="L11" s="207"/>
      <c r="M11" s="126"/>
      <c r="N11" s="126"/>
      <c r="O11" s="80"/>
      <c r="P11" s="70"/>
      <c r="Q11" s="143"/>
      <c r="R11" s="69"/>
      <c r="S11" s="69"/>
      <c r="T11" s="70"/>
      <c r="U11" s="70"/>
      <c r="V11" s="124"/>
      <c r="W11" s="126"/>
      <c r="X11" s="127"/>
      <c r="Y11" s="128"/>
      <c r="Z11" s="127"/>
      <c r="AA11" s="80"/>
      <c r="AB11" s="83"/>
      <c r="AD11" s="265" t="str">
        <f>IF(G11="","",VLOOKUP(G11,'AUX2'!$C$62:$G$93,2,0))</f>
        <v/>
      </c>
      <c r="AE11" s="265" t="str">
        <f>IF(G11="","",VLOOKUP(G11,'AUX2'!$C$62:$G$93,3,0))</f>
        <v/>
      </c>
      <c r="AF11" s="265" t="str">
        <f>IF(H11="","",VLOOKUP(H11,'AUX2'!$C$98:$D$102,2,0))</f>
        <v/>
      </c>
      <c r="AH11" s="333" t="str">
        <f t="shared" si="0"/>
        <v/>
      </c>
      <c r="AI11" s="334" t="str">
        <f>IF(AH11="","",AH11*'AUX2'!$K$129)</f>
        <v/>
      </c>
      <c r="AJ11" s="335" t="str">
        <f t="shared" si="1"/>
        <v/>
      </c>
      <c r="AK11" s="336" t="str">
        <f>IF(AJ11="","",VLOOKUP(V11,'AUX2'!$C$121:$E$125,2,0))</f>
        <v/>
      </c>
      <c r="AL11" s="336" t="str">
        <f t="shared" si="5"/>
        <v/>
      </c>
      <c r="AM11" s="335" t="str">
        <f t="shared" si="2"/>
        <v/>
      </c>
      <c r="AN11" s="333" t="str">
        <f>IF(AJ11="","",VLOOKUP(V11,'AUX2'!$C$121:$E$125,3,0))</f>
        <v/>
      </c>
      <c r="AO11" s="336">
        <f>IF(AJ11&lt;=300,'AUX2'!$D$129,IF(AND(AJ11&gt;300,AJ11&lt;=600),'AUX2'!$D$130,IF(AND(AJ11&gt;600,AJ11&lt;=900),'AUX2'!$D$131,IF(AND(AJ11&gt;900,AJ11&lt;=1200),'AUX2'!$D$132,IF(AND(AJ11&gt;1200,AJ11&lt;=1500),'AUX2'!$D$133,IF(AJ11&gt;1500,'AUX2'!$D$134))))))</f>
        <v>0</v>
      </c>
      <c r="AP11" s="335">
        <f t="shared" si="6"/>
        <v>0</v>
      </c>
      <c r="AQ11" s="336">
        <f t="shared" si="3"/>
        <v>0</v>
      </c>
      <c r="AR11" s="336">
        <f t="shared" si="3"/>
        <v>0</v>
      </c>
      <c r="AS11" s="335">
        <f>T11*'AUX2'!$K$137</f>
        <v>0</v>
      </c>
      <c r="AU11" s="337" t="str">
        <f t="shared" si="7"/>
        <v/>
      </c>
      <c r="AV11" s="338">
        <f t="shared" si="8"/>
        <v>0</v>
      </c>
      <c r="AW11" s="338">
        <f t="shared" si="9"/>
        <v>0</v>
      </c>
      <c r="AX11" s="338">
        <f t="shared" si="10"/>
        <v>0</v>
      </c>
      <c r="AY11" s="339" t="str">
        <f t="shared" si="11"/>
        <v/>
      </c>
      <c r="AZ11" s="340">
        <f t="shared" si="12"/>
        <v>0</v>
      </c>
      <c r="BA11" s="341">
        <f t="shared" si="13"/>
        <v>0</v>
      </c>
      <c r="BC11" s="291" t="str">
        <f t="shared" si="14"/>
        <v/>
      </c>
      <c r="BD11" s="392"/>
    </row>
    <row r="12" spans="1:65" ht="15.75" thickBot="1" x14ac:dyDescent="0.3">
      <c r="B12" s="65">
        <v>6</v>
      </c>
      <c r="C12" s="342" t="str">
        <f t="shared" si="4"/>
        <v/>
      </c>
      <c r="D12" s="76"/>
      <c r="E12" s="77"/>
      <c r="F12" s="78"/>
      <c r="G12" s="79"/>
      <c r="H12" s="80"/>
      <c r="I12" s="81"/>
      <c r="J12" s="79"/>
      <c r="K12" s="79"/>
      <c r="L12" s="207"/>
      <c r="M12" s="126"/>
      <c r="N12" s="126"/>
      <c r="O12" s="80"/>
      <c r="P12" s="70"/>
      <c r="Q12" s="143"/>
      <c r="R12" s="69"/>
      <c r="S12" s="69"/>
      <c r="T12" s="70"/>
      <c r="U12" s="70"/>
      <c r="V12" s="124"/>
      <c r="W12" s="126"/>
      <c r="X12" s="127"/>
      <c r="Y12" s="128"/>
      <c r="Z12" s="127"/>
      <c r="AA12" s="80"/>
      <c r="AB12" s="83"/>
      <c r="AD12" s="265" t="str">
        <f>IF(G12="","",VLOOKUP(G12,'AUX2'!$C$62:$G$93,2,0))</f>
        <v/>
      </c>
      <c r="AE12" s="265" t="str">
        <f>IF(G12="","",VLOOKUP(G12,'AUX2'!$C$62:$G$93,3,0))</f>
        <v/>
      </c>
      <c r="AF12" s="265" t="str">
        <f>IF(H12="","",VLOOKUP(H12,'AUX2'!$C$98:$D$102,2,0))</f>
        <v/>
      </c>
      <c r="AH12" s="333" t="str">
        <f t="shared" si="0"/>
        <v/>
      </c>
      <c r="AI12" s="334" t="str">
        <f>IF(AH12="","",AH12*'AUX2'!$K$129)</f>
        <v/>
      </c>
      <c r="AJ12" s="335" t="str">
        <f t="shared" si="1"/>
        <v/>
      </c>
      <c r="AK12" s="336" t="str">
        <f>IF(AJ12="","",VLOOKUP(V12,'AUX2'!$C$121:$E$125,2,0))</f>
        <v/>
      </c>
      <c r="AL12" s="336" t="str">
        <f t="shared" si="5"/>
        <v/>
      </c>
      <c r="AM12" s="335" t="str">
        <f t="shared" si="2"/>
        <v/>
      </c>
      <c r="AN12" s="333" t="str">
        <f>IF(AJ12="","",VLOOKUP(V12,'AUX2'!$C$121:$E$125,3,0))</f>
        <v/>
      </c>
      <c r="AO12" s="336">
        <f>IF(AJ12&lt;=300,'AUX2'!$D$129,IF(AND(AJ12&gt;300,AJ12&lt;=600),'AUX2'!$D$130,IF(AND(AJ12&gt;600,AJ12&lt;=900),'AUX2'!$D$131,IF(AND(AJ12&gt;900,AJ12&lt;=1200),'AUX2'!$D$132,IF(AND(AJ12&gt;1200,AJ12&lt;=1500),'AUX2'!$D$133,IF(AJ12&gt;1500,'AUX2'!$D$134))))))</f>
        <v>0</v>
      </c>
      <c r="AP12" s="335">
        <f t="shared" si="6"/>
        <v>0</v>
      </c>
      <c r="AQ12" s="336">
        <f t="shared" si="3"/>
        <v>0</v>
      </c>
      <c r="AR12" s="336">
        <f t="shared" si="3"/>
        <v>0</v>
      </c>
      <c r="AS12" s="335">
        <f>T12*'AUX2'!$K$137</f>
        <v>0</v>
      </c>
      <c r="AU12" s="337" t="str">
        <f t="shared" si="7"/>
        <v/>
      </c>
      <c r="AV12" s="338">
        <f t="shared" si="8"/>
        <v>0</v>
      </c>
      <c r="AW12" s="338">
        <f t="shared" si="9"/>
        <v>0</v>
      </c>
      <c r="AX12" s="338">
        <f t="shared" si="10"/>
        <v>0</v>
      </c>
      <c r="AY12" s="339" t="str">
        <f t="shared" si="11"/>
        <v/>
      </c>
      <c r="AZ12" s="340">
        <f t="shared" si="12"/>
        <v>0</v>
      </c>
      <c r="BA12" s="341">
        <f t="shared" si="13"/>
        <v>0</v>
      </c>
      <c r="BC12" s="291" t="str">
        <f t="shared" si="14"/>
        <v/>
      </c>
      <c r="BD12" s="392"/>
    </row>
    <row r="13" spans="1:65" ht="15.75" thickBot="1" x14ac:dyDescent="0.3">
      <c r="B13" s="65">
        <v>7</v>
      </c>
      <c r="C13" s="342" t="str">
        <f t="shared" si="4"/>
        <v/>
      </c>
      <c r="D13" s="76"/>
      <c r="E13" s="77"/>
      <c r="F13" s="78"/>
      <c r="G13" s="79"/>
      <c r="H13" s="80"/>
      <c r="I13" s="81"/>
      <c r="J13" s="79"/>
      <c r="K13" s="79"/>
      <c r="L13" s="207"/>
      <c r="M13" s="126"/>
      <c r="N13" s="126"/>
      <c r="O13" s="80"/>
      <c r="P13" s="70"/>
      <c r="Q13" s="143"/>
      <c r="R13" s="69"/>
      <c r="S13" s="69"/>
      <c r="T13" s="70"/>
      <c r="U13" s="70"/>
      <c r="V13" s="124"/>
      <c r="W13" s="126"/>
      <c r="X13" s="127"/>
      <c r="Y13" s="128"/>
      <c r="Z13" s="127"/>
      <c r="AA13" s="80"/>
      <c r="AB13" s="83"/>
      <c r="AD13" s="265" t="str">
        <f>IF(G13="","",VLOOKUP(G13,'AUX2'!$C$62:$G$93,2,0))</f>
        <v/>
      </c>
      <c r="AE13" s="265" t="str">
        <f>IF(G13="","",VLOOKUP(G13,'AUX2'!$C$62:$G$93,3,0))</f>
        <v/>
      </c>
      <c r="AF13" s="265" t="str">
        <f>IF(H13="","",VLOOKUP(H13,'AUX2'!$C$98:$D$102,2,0))</f>
        <v/>
      </c>
      <c r="AH13" s="333" t="str">
        <f t="shared" si="0"/>
        <v/>
      </c>
      <c r="AI13" s="334" t="str">
        <f>IF(AH13="","",AH13*'AUX2'!$K$129)</f>
        <v/>
      </c>
      <c r="AJ13" s="335" t="str">
        <f t="shared" si="1"/>
        <v/>
      </c>
      <c r="AK13" s="336" t="str">
        <f>IF(AJ13="","",VLOOKUP(V13,'AUX2'!$C$121:$E$125,2,0))</f>
        <v/>
      </c>
      <c r="AL13" s="336" t="str">
        <f t="shared" si="5"/>
        <v/>
      </c>
      <c r="AM13" s="335" t="str">
        <f t="shared" si="2"/>
        <v/>
      </c>
      <c r="AN13" s="333" t="str">
        <f>IF(AJ13="","",VLOOKUP(V13,'AUX2'!$C$121:$E$125,3,0))</f>
        <v/>
      </c>
      <c r="AO13" s="336">
        <f>IF(AJ13&lt;=300,'AUX2'!$D$129,IF(AND(AJ13&gt;300,AJ13&lt;=600),'AUX2'!$D$130,IF(AND(AJ13&gt;600,AJ13&lt;=900),'AUX2'!$D$131,IF(AND(AJ13&gt;900,AJ13&lt;=1200),'AUX2'!$D$132,IF(AND(AJ13&gt;1200,AJ13&lt;=1500),'AUX2'!$D$133,IF(AJ13&gt;1500,'AUX2'!$D$134))))))</f>
        <v>0</v>
      </c>
      <c r="AP13" s="335">
        <f t="shared" si="6"/>
        <v>0</v>
      </c>
      <c r="AQ13" s="336">
        <f t="shared" si="3"/>
        <v>0</v>
      </c>
      <c r="AR13" s="336">
        <f t="shared" si="3"/>
        <v>0</v>
      </c>
      <c r="AS13" s="335">
        <f>T13*'AUX2'!$K$137</f>
        <v>0</v>
      </c>
      <c r="AU13" s="337" t="str">
        <f t="shared" si="7"/>
        <v/>
      </c>
      <c r="AV13" s="338">
        <f t="shared" si="8"/>
        <v>0</v>
      </c>
      <c r="AW13" s="338">
        <f t="shared" si="9"/>
        <v>0</v>
      </c>
      <c r="AX13" s="338">
        <f t="shared" si="10"/>
        <v>0</v>
      </c>
      <c r="AY13" s="339" t="str">
        <f t="shared" si="11"/>
        <v/>
      </c>
      <c r="AZ13" s="340">
        <f t="shared" si="12"/>
        <v>0</v>
      </c>
      <c r="BA13" s="341">
        <f t="shared" si="13"/>
        <v>0</v>
      </c>
      <c r="BC13" s="291" t="str">
        <f t="shared" si="14"/>
        <v/>
      </c>
      <c r="BD13" s="392"/>
    </row>
    <row r="14" spans="1:65" ht="15.75" thickBot="1" x14ac:dyDescent="0.3">
      <c r="B14" s="65">
        <v>8</v>
      </c>
      <c r="C14" s="342" t="str">
        <f t="shared" si="4"/>
        <v/>
      </c>
      <c r="D14" s="76"/>
      <c r="E14" s="77"/>
      <c r="F14" s="78"/>
      <c r="G14" s="79"/>
      <c r="H14" s="80"/>
      <c r="I14" s="81"/>
      <c r="J14" s="79"/>
      <c r="K14" s="79"/>
      <c r="L14" s="207"/>
      <c r="M14" s="126"/>
      <c r="N14" s="126"/>
      <c r="O14" s="80"/>
      <c r="P14" s="70"/>
      <c r="Q14" s="143"/>
      <c r="R14" s="69"/>
      <c r="S14" s="69"/>
      <c r="T14" s="70"/>
      <c r="U14" s="70"/>
      <c r="V14" s="124"/>
      <c r="W14" s="126"/>
      <c r="X14" s="127"/>
      <c r="Y14" s="128"/>
      <c r="Z14" s="127"/>
      <c r="AA14" s="80"/>
      <c r="AB14" s="83"/>
      <c r="AD14" s="265" t="str">
        <f>IF(G14="","",VLOOKUP(G14,'AUX2'!$C$62:$G$93,2,0))</f>
        <v/>
      </c>
      <c r="AE14" s="265" t="str">
        <f>IF(G14="","",VLOOKUP(G14,'AUX2'!$C$62:$G$93,3,0))</f>
        <v/>
      </c>
      <c r="AF14" s="265" t="str">
        <f>IF(H14="","",VLOOKUP(H14,'AUX2'!$C$98:$D$102,2,0))</f>
        <v/>
      </c>
      <c r="AH14" s="333" t="str">
        <f t="shared" si="0"/>
        <v/>
      </c>
      <c r="AI14" s="334" t="str">
        <f>IF(AH14="","",AH14*'AUX2'!$K$129)</f>
        <v/>
      </c>
      <c r="AJ14" s="335" t="str">
        <f t="shared" si="1"/>
        <v/>
      </c>
      <c r="AK14" s="336" t="str">
        <f>IF(AJ14="","",VLOOKUP(V14,'AUX2'!$C$121:$E$125,2,0))</f>
        <v/>
      </c>
      <c r="AL14" s="336" t="str">
        <f t="shared" si="5"/>
        <v/>
      </c>
      <c r="AM14" s="335" t="str">
        <f t="shared" si="2"/>
        <v/>
      </c>
      <c r="AN14" s="333" t="str">
        <f>IF(AJ14="","",VLOOKUP(V14,'AUX2'!$C$121:$E$125,3,0))</f>
        <v/>
      </c>
      <c r="AO14" s="336">
        <f>IF(AJ14&lt;=300,'AUX2'!$D$129,IF(AND(AJ14&gt;300,AJ14&lt;=600),'AUX2'!$D$130,IF(AND(AJ14&gt;600,AJ14&lt;=900),'AUX2'!$D$131,IF(AND(AJ14&gt;900,AJ14&lt;=1200),'AUX2'!$D$132,IF(AND(AJ14&gt;1200,AJ14&lt;=1500),'AUX2'!$D$133,IF(AJ14&gt;1500,'AUX2'!$D$134))))))</f>
        <v>0</v>
      </c>
      <c r="AP14" s="335">
        <f t="shared" si="6"/>
        <v>0</v>
      </c>
      <c r="AQ14" s="336">
        <f t="shared" si="3"/>
        <v>0</v>
      </c>
      <c r="AR14" s="336">
        <f t="shared" si="3"/>
        <v>0</v>
      </c>
      <c r="AS14" s="335">
        <f>T14*'AUX2'!$K$137</f>
        <v>0</v>
      </c>
      <c r="AU14" s="337" t="str">
        <f t="shared" si="7"/>
        <v/>
      </c>
      <c r="AV14" s="338">
        <f t="shared" si="8"/>
        <v>0</v>
      </c>
      <c r="AW14" s="338">
        <f t="shared" si="9"/>
        <v>0</v>
      </c>
      <c r="AX14" s="338">
        <f t="shared" si="10"/>
        <v>0</v>
      </c>
      <c r="AY14" s="339" t="str">
        <f t="shared" si="11"/>
        <v/>
      </c>
      <c r="AZ14" s="340">
        <f t="shared" si="12"/>
        <v>0</v>
      </c>
      <c r="BA14" s="341">
        <f t="shared" si="13"/>
        <v>0</v>
      </c>
      <c r="BC14" s="291" t="str">
        <f t="shared" si="14"/>
        <v/>
      </c>
      <c r="BD14" s="392"/>
    </row>
    <row r="15" spans="1:65" ht="15.75" thickBot="1" x14ac:dyDescent="0.3">
      <c r="B15" s="65">
        <v>9</v>
      </c>
      <c r="C15" s="342" t="str">
        <f t="shared" si="4"/>
        <v/>
      </c>
      <c r="D15" s="76"/>
      <c r="E15" s="77"/>
      <c r="F15" s="78"/>
      <c r="G15" s="79"/>
      <c r="H15" s="80"/>
      <c r="I15" s="81"/>
      <c r="J15" s="79"/>
      <c r="K15" s="79"/>
      <c r="L15" s="207"/>
      <c r="M15" s="126"/>
      <c r="N15" s="126"/>
      <c r="O15" s="80"/>
      <c r="P15" s="70"/>
      <c r="Q15" s="143"/>
      <c r="R15" s="69"/>
      <c r="S15" s="69"/>
      <c r="T15" s="70"/>
      <c r="U15" s="70"/>
      <c r="V15" s="124"/>
      <c r="W15" s="126"/>
      <c r="X15" s="127"/>
      <c r="Y15" s="128"/>
      <c r="Z15" s="127"/>
      <c r="AA15" s="80"/>
      <c r="AB15" s="83"/>
      <c r="AD15" s="265" t="str">
        <f>IF(G15="","",VLOOKUP(G15,'AUX2'!$C$62:$G$93,2,0))</f>
        <v/>
      </c>
      <c r="AE15" s="265" t="str">
        <f>IF(G15="","",VLOOKUP(G15,'AUX2'!$C$62:$G$93,3,0))</f>
        <v/>
      </c>
      <c r="AF15" s="265" t="str">
        <f>IF(H15="","",VLOOKUP(H15,'AUX2'!$C$98:$D$102,2,0))</f>
        <v/>
      </c>
      <c r="AH15" s="333" t="str">
        <f t="shared" si="0"/>
        <v/>
      </c>
      <c r="AI15" s="334" t="str">
        <f>IF(AH15="","",AH15*'AUX2'!$K$129)</f>
        <v/>
      </c>
      <c r="AJ15" s="335" t="str">
        <f t="shared" si="1"/>
        <v/>
      </c>
      <c r="AK15" s="336" t="str">
        <f>IF(AJ15="","",VLOOKUP(V15,'AUX2'!$C$121:$E$125,2,0))</f>
        <v/>
      </c>
      <c r="AL15" s="336" t="str">
        <f t="shared" si="5"/>
        <v/>
      </c>
      <c r="AM15" s="335" t="str">
        <f t="shared" si="2"/>
        <v/>
      </c>
      <c r="AN15" s="333" t="str">
        <f>IF(AJ15="","",VLOOKUP(V15,'AUX2'!$C$121:$E$125,3,0))</f>
        <v/>
      </c>
      <c r="AO15" s="336">
        <f>IF(AJ15&lt;=300,'AUX2'!$D$129,IF(AND(AJ15&gt;300,AJ15&lt;=600),'AUX2'!$D$130,IF(AND(AJ15&gt;600,AJ15&lt;=900),'AUX2'!$D$131,IF(AND(AJ15&gt;900,AJ15&lt;=1200),'AUX2'!$D$132,IF(AND(AJ15&gt;1200,AJ15&lt;=1500),'AUX2'!$D$133,IF(AJ15&gt;1500,'AUX2'!$D$134))))))</f>
        <v>0</v>
      </c>
      <c r="AP15" s="335">
        <f t="shared" si="6"/>
        <v>0</v>
      </c>
      <c r="AQ15" s="336">
        <f t="shared" si="3"/>
        <v>0</v>
      </c>
      <c r="AR15" s="336">
        <f t="shared" si="3"/>
        <v>0</v>
      </c>
      <c r="AS15" s="335">
        <f>T15*'AUX2'!$K$137</f>
        <v>0</v>
      </c>
      <c r="AU15" s="337" t="str">
        <f t="shared" si="7"/>
        <v/>
      </c>
      <c r="AV15" s="338">
        <f t="shared" si="8"/>
        <v>0</v>
      </c>
      <c r="AW15" s="338">
        <f t="shared" si="9"/>
        <v>0</v>
      </c>
      <c r="AX15" s="338">
        <f t="shared" si="10"/>
        <v>0</v>
      </c>
      <c r="AY15" s="339" t="str">
        <f t="shared" si="11"/>
        <v/>
      </c>
      <c r="AZ15" s="340">
        <f t="shared" si="12"/>
        <v>0</v>
      </c>
      <c r="BA15" s="341">
        <f t="shared" si="13"/>
        <v>0</v>
      </c>
      <c r="BC15" s="291" t="str">
        <f t="shared" si="14"/>
        <v/>
      </c>
      <c r="BD15" s="392"/>
    </row>
    <row r="16" spans="1:65" ht="15.75" thickBot="1" x14ac:dyDescent="0.3">
      <c r="B16" s="65">
        <v>10</v>
      </c>
      <c r="C16" s="342" t="str">
        <f t="shared" si="4"/>
        <v/>
      </c>
      <c r="D16" s="76"/>
      <c r="E16" s="77"/>
      <c r="F16" s="78"/>
      <c r="G16" s="79"/>
      <c r="H16" s="80"/>
      <c r="I16" s="81"/>
      <c r="J16" s="79"/>
      <c r="K16" s="79"/>
      <c r="L16" s="207"/>
      <c r="M16" s="126"/>
      <c r="N16" s="126"/>
      <c r="O16" s="80"/>
      <c r="P16" s="70"/>
      <c r="Q16" s="143"/>
      <c r="R16" s="69"/>
      <c r="S16" s="69"/>
      <c r="T16" s="70"/>
      <c r="U16" s="70"/>
      <c r="V16" s="124"/>
      <c r="W16" s="126"/>
      <c r="X16" s="127"/>
      <c r="Y16" s="128"/>
      <c r="Z16" s="127"/>
      <c r="AA16" s="80"/>
      <c r="AB16" s="83"/>
      <c r="AD16" s="265" t="str">
        <f>IF(G16="","",VLOOKUP(G16,'AUX2'!$C$62:$G$93,2,0))</f>
        <v/>
      </c>
      <c r="AE16" s="265" t="str">
        <f>IF(G16="","",VLOOKUP(G16,'AUX2'!$C$62:$G$93,3,0))</f>
        <v/>
      </c>
      <c r="AF16" s="265" t="str">
        <f>IF(H16="","",VLOOKUP(H16,'AUX2'!$C$98:$D$102,2,0))</f>
        <v/>
      </c>
      <c r="AH16" s="333" t="str">
        <f t="shared" si="0"/>
        <v/>
      </c>
      <c r="AI16" s="334" t="str">
        <f>IF(AH16="","",AH16*'AUX2'!$K$129)</f>
        <v/>
      </c>
      <c r="AJ16" s="335" t="str">
        <f t="shared" si="1"/>
        <v/>
      </c>
      <c r="AK16" s="336" t="str">
        <f>IF(AJ16="","",VLOOKUP(V16,'AUX2'!$C$121:$E$125,2,0))</f>
        <v/>
      </c>
      <c r="AL16" s="336" t="str">
        <f t="shared" si="5"/>
        <v/>
      </c>
      <c r="AM16" s="335" t="str">
        <f t="shared" si="2"/>
        <v/>
      </c>
      <c r="AN16" s="333" t="str">
        <f>IF(AJ16="","",VLOOKUP(V16,'AUX2'!$C$121:$E$125,3,0))</f>
        <v/>
      </c>
      <c r="AO16" s="336">
        <f>IF(AJ16&lt;=300,'AUX2'!$D$129,IF(AND(AJ16&gt;300,AJ16&lt;=600),'AUX2'!$D$130,IF(AND(AJ16&gt;600,AJ16&lt;=900),'AUX2'!$D$131,IF(AND(AJ16&gt;900,AJ16&lt;=1200),'AUX2'!$D$132,IF(AND(AJ16&gt;1200,AJ16&lt;=1500),'AUX2'!$D$133,IF(AJ16&gt;1500,'AUX2'!$D$134))))))</f>
        <v>0</v>
      </c>
      <c r="AP16" s="335">
        <f t="shared" si="6"/>
        <v>0</v>
      </c>
      <c r="AQ16" s="336">
        <f t="shared" si="3"/>
        <v>0</v>
      </c>
      <c r="AR16" s="336">
        <f t="shared" si="3"/>
        <v>0</v>
      </c>
      <c r="AS16" s="335">
        <f>T16*'AUX2'!$K$137</f>
        <v>0</v>
      </c>
      <c r="AU16" s="337" t="str">
        <f t="shared" si="7"/>
        <v/>
      </c>
      <c r="AV16" s="338">
        <f t="shared" si="8"/>
        <v>0</v>
      </c>
      <c r="AW16" s="338">
        <f t="shared" si="9"/>
        <v>0</v>
      </c>
      <c r="AX16" s="338">
        <f t="shared" si="10"/>
        <v>0</v>
      </c>
      <c r="AY16" s="339" t="str">
        <f t="shared" si="11"/>
        <v/>
      </c>
      <c r="AZ16" s="340">
        <f t="shared" si="12"/>
        <v>0</v>
      </c>
      <c r="BA16" s="341">
        <f t="shared" si="13"/>
        <v>0</v>
      </c>
      <c r="BC16" s="291" t="str">
        <f t="shared" si="14"/>
        <v/>
      </c>
      <c r="BD16" s="392"/>
    </row>
    <row r="17" spans="2:56" ht="15.75" thickBot="1" x14ac:dyDescent="0.3">
      <c r="B17" s="65">
        <v>11</v>
      </c>
      <c r="C17" s="342" t="str">
        <f t="shared" si="4"/>
        <v/>
      </c>
      <c r="D17" s="76"/>
      <c r="E17" s="77"/>
      <c r="F17" s="78"/>
      <c r="G17" s="79"/>
      <c r="H17" s="80"/>
      <c r="I17" s="81"/>
      <c r="J17" s="79"/>
      <c r="K17" s="79"/>
      <c r="L17" s="207"/>
      <c r="M17" s="126"/>
      <c r="N17" s="126"/>
      <c r="O17" s="80"/>
      <c r="P17" s="70"/>
      <c r="Q17" s="143"/>
      <c r="R17" s="69"/>
      <c r="S17" s="69"/>
      <c r="T17" s="70"/>
      <c r="U17" s="70"/>
      <c r="V17" s="124"/>
      <c r="W17" s="126"/>
      <c r="X17" s="127"/>
      <c r="Y17" s="128"/>
      <c r="Z17" s="127"/>
      <c r="AA17" s="80"/>
      <c r="AB17" s="83"/>
      <c r="AD17" s="265" t="str">
        <f>IF(G17="","",VLOOKUP(G17,'AUX2'!$C$62:$G$93,2,0))</f>
        <v/>
      </c>
      <c r="AE17" s="265" t="str">
        <f>IF(G17="","",VLOOKUP(G17,'AUX2'!$C$62:$G$93,3,0))</f>
        <v/>
      </c>
      <c r="AF17" s="265" t="str">
        <f>IF(H17="","",VLOOKUP(H17,'AUX2'!$C$98:$D$102,2,0))</f>
        <v/>
      </c>
      <c r="AH17" s="333" t="str">
        <f t="shared" si="0"/>
        <v/>
      </c>
      <c r="AI17" s="334" t="str">
        <f>IF(AH17="","",AH17*'AUX2'!$K$129)</f>
        <v/>
      </c>
      <c r="AJ17" s="335" t="str">
        <f t="shared" si="1"/>
        <v/>
      </c>
      <c r="AK17" s="336" t="str">
        <f>IF(AJ17="","",VLOOKUP(V17,'AUX2'!$C$121:$E$125,2,0))</f>
        <v/>
      </c>
      <c r="AL17" s="336" t="str">
        <f t="shared" si="5"/>
        <v/>
      </c>
      <c r="AM17" s="335" t="str">
        <f t="shared" si="2"/>
        <v/>
      </c>
      <c r="AN17" s="333" t="str">
        <f>IF(AJ17="","",VLOOKUP(V17,'AUX2'!$C$121:$E$125,3,0))</f>
        <v/>
      </c>
      <c r="AO17" s="336">
        <f>IF(AJ17&lt;=300,'AUX2'!$D$129,IF(AND(AJ17&gt;300,AJ17&lt;=600),'AUX2'!$D$130,IF(AND(AJ17&gt;600,AJ17&lt;=900),'AUX2'!$D$131,IF(AND(AJ17&gt;900,AJ17&lt;=1200),'AUX2'!$D$132,IF(AND(AJ17&gt;1200,AJ17&lt;=1500),'AUX2'!$D$133,IF(AJ17&gt;1500,'AUX2'!$D$134))))))</f>
        <v>0</v>
      </c>
      <c r="AP17" s="335">
        <f t="shared" si="6"/>
        <v>0</v>
      </c>
      <c r="AQ17" s="336">
        <f t="shared" si="3"/>
        <v>0</v>
      </c>
      <c r="AR17" s="336">
        <f t="shared" si="3"/>
        <v>0</v>
      </c>
      <c r="AS17" s="335">
        <f>T17*'AUX2'!$K$137</f>
        <v>0</v>
      </c>
      <c r="AU17" s="337" t="str">
        <f t="shared" si="7"/>
        <v/>
      </c>
      <c r="AV17" s="338">
        <f t="shared" si="8"/>
        <v>0</v>
      </c>
      <c r="AW17" s="338">
        <f t="shared" si="9"/>
        <v>0</v>
      </c>
      <c r="AX17" s="338">
        <f t="shared" si="10"/>
        <v>0</v>
      </c>
      <c r="AY17" s="339" t="str">
        <f t="shared" si="11"/>
        <v/>
      </c>
      <c r="AZ17" s="340">
        <f t="shared" si="12"/>
        <v>0</v>
      </c>
      <c r="BA17" s="341">
        <f t="shared" si="13"/>
        <v>0</v>
      </c>
      <c r="BC17" s="291" t="str">
        <f t="shared" si="14"/>
        <v/>
      </c>
      <c r="BD17" s="392"/>
    </row>
    <row r="18" spans="2:56" ht="15.75" thickBot="1" x14ac:dyDescent="0.3">
      <c r="B18" s="65">
        <v>12</v>
      </c>
      <c r="C18" s="342" t="str">
        <f t="shared" si="4"/>
        <v/>
      </c>
      <c r="D18" s="76"/>
      <c r="E18" s="77"/>
      <c r="F18" s="78"/>
      <c r="G18" s="79"/>
      <c r="H18" s="80"/>
      <c r="I18" s="81"/>
      <c r="J18" s="79"/>
      <c r="K18" s="79"/>
      <c r="L18" s="207"/>
      <c r="M18" s="126"/>
      <c r="N18" s="126"/>
      <c r="O18" s="80"/>
      <c r="P18" s="70"/>
      <c r="Q18" s="143"/>
      <c r="R18" s="69"/>
      <c r="S18" s="69"/>
      <c r="T18" s="70"/>
      <c r="U18" s="70"/>
      <c r="V18" s="124"/>
      <c r="W18" s="126"/>
      <c r="X18" s="127"/>
      <c r="Y18" s="128"/>
      <c r="Z18" s="127"/>
      <c r="AA18" s="80"/>
      <c r="AB18" s="83"/>
      <c r="AD18" s="265" t="str">
        <f>IF(G18="","",VLOOKUP(G18,'AUX2'!$C$62:$G$93,2,0))</f>
        <v/>
      </c>
      <c r="AE18" s="265" t="str">
        <f>IF(G18="","",VLOOKUP(G18,'AUX2'!$C$62:$G$93,3,0))</f>
        <v/>
      </c>
      <c r="AF18" s="265" t="str">
        <f>IF(H18="","",VLOOKUP(H18,'AUX2'!$C$98:$D$102,2,0))</f>
        <v/>
      </c>
      <c r="AH18" s="333" t="str">
        <f t="shared" si="0"/>
        <v/>
      </c>
      <c r="AI18" s="334" t="str">
        <f>IF(AH18="","",AH18*'AUX2'!$K$129)</f>
        <v/>
      </c>
      <c r="AJ18" s="335" t="str">
        <f t="shared" si="1"/>
        <v/>
      </c>
      <c r="AK18" s="336" t="str">
        <f>IF(AJ18="","",VLOOKUP(V18,'AUX2'!$C$121:$E$125,2,0))</f>
        <v/>
      </c>
      <c r="AL18" s="336" t="str">
        <f t="shared" si="5"/>
        <v/>
      </c>
      <c r="AM18" s="335" t="str">
        <f t="shared" si="2"/>
        <v/>
      </c>
      <c r="AN18" s="333" t="str">
        <f>IF(AJ18="","",VLOOKUP(V18,'AUX2'!$C$121:$E$125,3,0))</f>
        <v/>
      </c>
      <c r="AO18" s="336">
        <f>IF(AJ18&lt;=300,'AUX2'!$D$129,IF(AND(AJ18&gt;300,AJ18&lt;=600),'AUX2'!$D$130,IF(AND(AJ18&gt;600,AJ18&lt;=900),'AUX2'!$D$131,IF(AND(AJ18&gt;900,AJ18&lt;=1200),'AUX2'!$D$132,IF(AND(AJ18&gt;1200,AJ18&lt;=1500),'AUX2'!$D$133,IF(AJ18&gt;1500,'AUX2'!$D$134))))))</f>
        <v>0</v>
      </c>
      <c r="AP18" s="335">
        <f t="shared" si="6"/>
        <v>0</v>
      </c>
      <c r="AQ18" s="336">
        <f t="shared" si="3"/>
        <v>0</v>
      </c>
      <c r="AR18" s="336">
        <f t="shared" si="3"/>
        <v>0</v>
      </c>
      <c r="AS18" s="335">
        <f>T18*'AUX2'!$K$137</f>
        <v>0</v>
      </c>
      <c r="AU18" s="337" t="str">
        <f t="shared" si="7"/>
        <v/>
      </c>
      <c r="AV18" s="338">
        <f t="shared" si="8"/>
        <v>0</v>
      </c>
      <c r="AW18" s="338">
        <f t="shared" si="9"/>
        <v>0</v>
      </c>
      <c r="AX18" s="338">
        <f t="shared" si="10"/>
        <v>0</v>
      </c>
      <c r="AY18" s="339" t="str">
        <f t="shared" si="11"/>
        <v/>
      </c>
      <c r="AZ18" s="340">
        <f t="shared" si="12"/>
        <v>0</v>
      </c>
      <c r="BA18" s="341">
        <f t="shared" si="13"/>
        <v>0</v>
      </c>
      <c r="BC18" s="291" t="str">
        <f t="shared" si="14"/>
        <v/>
      </c>
      <c r="BD18" s="392"/>
    </row>
    <row r="19" spans="2:56" ht="15.75" thickBot="1" x14ac:dyDescent="0.3">
      <c r="B19" s="65">
        <v>13</v>
      </c>
      <c r="C19" s="342" t="str">
        <f t="shared" si="4"/>
        <v/>
      </c>
      <c r="D19" s="76"/>
      <c r="E19" s="77"/>
      <c r="F19" s="78"/>
      <c r="G19" s="79"/>
      <c r="H19" s="80"/>
      <c r="I19" s="81"/>
      <c r="J19" s="79"/>
      <c r="K19" s="79"/>
      <c r="L19" s="207"/>
      <c r="M19" s="126"/>
      <c r="N19" s="126"/>
      <c r="O19" s="80"/>
      <c r="P19" s="70"/>
      <c r="Q19" s="143"/>
      <c r="R19" s="69"/>
      <c r="S19" s="69"/>
      <c r="T19" s="70"/>
      <c r="U19" s="70"/>
      <c r="V19" s="124"/>
      <c r="W19" s="126"/>
      <c r="X19" s="127"/>
      <c r="Y19" s="128"/>
      <c r="Z19" s="127"/>
      <c r="AA19" s="80"/>
      <c r="AB19" s="83"/>
      <c r="AD19" s="265" t="str">
        <f>IF(G19="","",VLOOKUP(G19,'AUX2'!$C$62:$G$93,2,0))</f>
        <v/>
      </c>
      <c r="AE19" s="265" t="str">
        <f>IF(G19="","",VLOOKUP(G19,'AUX2'!$C$62:$G$93,3,0))</f>
        <v/>
      </c>
      <c r="AF19" s="265" t="str">
        <f>IF(H19="","",VLOOKUP(H19,'AUX2'!$C$98:$D$102,2,0))</f>
        <v/>
      </c>
      <c r="AH19" s="333" t="str">
        <f t="shared" si="0"/>
        <v/>
      </c>
      <c r="AI19" s="334" t="str">
        <f>IF(AH19="","",AH19*'AUX2'!$K$129)</f>
        <v/>
      </c>
      <c r="AJ19" s="335" t="str">
        <f t="shared" si="1"/>
        <v/>
      </c>
      <c r="AK19" s="336" t="str">
        <f>IF(AJ19="","",VLOOKUP(V19,'AUX2'!$C$121:$E$125,2,0))</f>
        <v/>
      </c>
      <c r="AL19" s="336" t="str">
        <f t="shared" si="5"/>
        <v/>
      </c>
      <c r="AM19" s="335" t="str">
        <f t="shared" si="2"/>
        <v/>
      </c>
      <c r="AN19" s="333" t="str">
        <f>IF(AJ19="","",VLOOKUP(V19,'AUX2'!$C$121:$E$125,3,0))</f>
        <v/>
      </c>
      <c r="AO19" s="336">
        <f>IF(AJ19&lt;=300,'AUX2'!$D$129,IF(AND(AJ19&gt;300,AJ19&lt;=600),'AUX2'!$D$130,IF(AND(AJ19&gt;600,AJ19&lt;=900),'AUX2'!$D$131,IF(AND(AJ19&gt;900,AJ19&lt;=1200),'AUX2'!$D$132,IF(AND(AJ19&gt;1200,AJ19&lt;=1500),'AUX2'!$D$133,IF(AJ19&gt;1500,'AUX2'!$D$134))))))</f>
        <v>0</v>
      </c>
      <c r="AP19" s="335">
        <f t="shared" si="6"/>
        <v>0</v>
      </c>
      <c r="AQ19" s="336">
        <f t="shared" si="3"/>
        <v>0</v>
      </c>
      <c r="AR19" s="336">
        <f t="shared" si="3"/>
        <v>0</v>
      </c>
      <c r="AS19" s="335">
        <f>T19*'AUX2'!$K$137</f>
        <v>0</v>
      </c>
      <c r="AU19" s="337" t="str">
        <f t="shared" si="7"/>
        <v/>
      </c>
      <c r="AV19" s="338">
        <f t="shared" si="8"/>
        <v>0</v>
      </c>
      <c r="AW19" s="338">
        <f t="shared" si="9"/>
        <v>0</v>
      </c>
      <c r="AX19" s="338">
        <f t="shared" si="10"/>
        <v>0</v>
      </c>
      <c r="AY19" s="339" t="str">
        <f t="shared" si="11"/>
        <v/>
      </c>
      <c r="AZ19" s="340">
        <f t="shared" si="12"/>
        <v>0</v>
      </c>
      <c r="BA19" s="341">
        <f t="shared" si="13"/>
        <v>0</v>
      </c>
      <c r="BC19" s="291" t="str">
        <f t="shared" si="14"/>
        <v/>
      </c>
      <c r="BD19" s="392"/>
    </row>
    <row r="20" spans="2:56" ht="15.75" thickBot="1" x14ac:dyDescent="0.3">
      <c r="B20" s="65">
        <v>14</v>
      </c>
      <c r="C20" s="342" t="str">
        <f t="shared" si="4"/>
        <v/>
      </c>
      <c r="D20" s="76"/>
      <c r="E20" s="77"/>
      <c r="F20" s="78"/>
      <c r="G20" s="79"/>
      <c r="H20" s="80"/>
      <c r="I20" s="81"/>
      <c r="J20" s="79"/>
      <c r="K20" s="79"/>
      <c r="L20" s="207"/>
      <c r="M20" s="126"/>
      <c r="N20" s="126"/>
      <c r="O20" s="80"/>
      <c r="P20" s="70"/>
      <c r="Q20" s="143"/>
      <c r="R20" s="69"/>
      <c r="S20" s="69"/>
      <c r="T20" s="70"/>
      <c r="U20" s="70"/>
      <c r="V20" s="124"/>
      <c r="W20" s="126"/>
      <c r="X20" s="127"/>
      <c r="Y20" s="128"/>
      <c r="Z20" s="127"/>
      <c r="AA20" s="80"/>
      <c r="AB20" s="83"/>
      <c r="AD20" s="265" t="str">
        <f>IF(G20="","",VLOOKUP(G20,'AUX2'!$C$62:$G$93,2,0))</f>
        <v/>
      </c>
      <c r="AE20" s="265" t="str">
        <f>IF(G20="","",VLOOKUP(G20,'AUX2'!$C$62:$G$93,3,0))</f>
        <v/>
      </c>
      <c r="AF20" s="265" t="str">
        <f>IF(H20="","",VLOOKUP(H20,'AUX2'!$C$98:$D$102,2,0))</f>
        <v/>
      </c>
      <c r="AH20" s="333" t="str">
        <f t="shared" si="0"/>
        <v/>
      </c>
      <c r="AI20" s="334" t="str">
        <f>IF(AH20="","",AH20*'AUX2'!$K$129)</f>
        <v/>
      </c>
      <c r="AJ20" s="335" t="str">
        <f t="shared" si="1"/>
        <v/>
      </c>
      <c r="AK20" s="336" t="str">
        <f>IF(AJ20="","",VLOOKUP(V20,'AUX2'!$C$121:$E$125,2,0))</f>
        <v/>
      </c>
      <c r="AL20" s="336" t="str">
        <f t="shared" si="5"/>
        <v/>
      </c>
      <c r="AM20" s="335" t="str">
        <f t="shared" si="2"/>
        <v/>
      </c>
      <c r="AN20" s="333" t="str">
        <f>IF(AJ20="","",VLOOKUP(V20,'AUX2'!$C$121:$E$125,3,0))</f>
        <v/>
      </c>
      <c r="AO20" s="336">
        <f>IF(AJ20&lt;=300,'AUX2'!$D$129,IF(AND(AJ20&gt;300,AJ20&lt;=600),'AUX2'!$D$130,IF(AND(AJ20&gt;600,AJ20&lt;=900),'AUX2'!$D$131,IF(AND(AJ20&gt;900,AJ20&lt;=1200),'AUX2'!$D$132,IF(AND(AJ20&gt;1200,AJ20&lt;=1500),'AUX2'!$D$133,IF(AJ20&gt;1500,'AUX2'!$D$134))))))</f>
        <v>0</v>
      </c>
      <c r="AP20" s="335">
        <f t="shared" si="6"/>
        <v>0</v>
      </c>
      <c r="AQ20" s="336">
        <f t="shared" si="3"/>
        <v>0</v>
      </c>
      <c r="AR20" s="336">
        <f t="shared" si="3"/>
        <v>0</v>
      </c>
      <c r="AS20" s="335">
        <f>T20*'AUX2'!$K$137</f>
        <v>0</v>
      </c>
      <c r="AU20" s="337" t="str">
        <f t="shared" si="7"/>
        <v/>
      </c>
      <c r="AV20" s="338">
        <f t="shared" si="8"/>
        <v>0</v>
      </c>
      <c r="AW20" s="338">
        <f t="shared" si="9"/>
        <v>0</v>
      </c>
      <c r="AX20" s="338">
        <f t="shared" si="10"/>
        <v>0</v>
      </c>
      <c r="AY20" s="339" t="str">
        <f t="shared" si="11"/>
        <v/>
      </c>
      <c r="AZ20" s="340">
        <f t="shared" si="12"/>
        <v>0</v>
      </c>
      <c r="BA20" s="341">
        <f t="shared" si="13"/>
        <v>0</v>
      </c>
      <c r="BC20" s="291" t="str">
        <f t="shared" si="14"/>
        <v/>
      </c>
      <c r="BD20" s="392"/>
    </row>
    <row r="21" spans="2:56" ht="15.75" thickBot="1" x14ac:dyDescent="0.3">
      <c r="B21" s="65">
        <v>15</v>
      </c>
      <c r="C21" s="342" t="str">
        <f t="shared" si="4"/>
        <v/>
      </c>
      <c r="D21" s="76"/>
      <c r="E21" s="77"/>
      <c r="F21" s="78"/>
      <c r="G21" s="79"/>
      <c r="H21" s="80"/>
      <c r="I21" s="81"/>
      <c r="J21" s="79"/>
      <c r="K21" s="79"/>
      <c r="L21" s="207"/>
      <c r="M21" s="126"/>
      <c r="N21" s="126"/>
      <c r="O21" s="80"/>
      <c r="P21" s="70"/>
      <c r="Q21" s="143"/>
      <c r="R21" s="69"/>
      <c r="S21" s="69"/>
      <c r="T21" s="70"/>
      <c r="U21" s="70"/>
      <c r="V21" s="124"/>
      <c r="W21" s="126"/>
      <c r="X21" s="127"/>
      <c r="Y21" s="128"/>
      <c r="Z21" s="127"/>
      <c r="AA21" s="80"/>
      <c r="AB21" s="83"/>
      <c r="AD21" s="265" t="str">
        <f>IF(G21="","",VLOOKUP(G21,'AUX2'!$C$62:$G$93,2,0))</f>
        <v/>
      </c>
      <c r="AE21" s="265" t="str">
        <f>IF(G21="","",VLOOKUP(G21,'AUX2'!$C$62:$G$93,3,0))</f>
        <v/>
      </c>
      <c r="AF21" s="265" t="str">
        <f>IF(H21="","",VLOOKUP(H21,'AUX2'!$C$98:$D$102,2,0))</f>
        <v/>
      </c>
      <c r="AH21" s="333" t="str">
        <f t="shared" si="0"/>
        <v/>
      </c>
      <c r="AI21" s="334" t="str">
        <f>IF(AH21="","",AH21*'AUX2'!$K$129)</f>
        <v/>
      </c>
      <c r="AJ21" s="335" t="str">
        <f t="shared" si="1"/>
        <v/>
      </c>
      <c r="AK21" s="336" t="str">
        <f>IF(AJ21="","",VLOOKUP(V21,'AUX2'!$C$121:$E$125,2,0))</f>
        <v/>
      </c>
      <c r="AL21" s="336" t="str">
        <f t="shared" si="5"/>
        <v/>
      </c>
      <c r="AM21" s="335" t="str">
        <f t="shared" si="2"/>
        <v/>
      </c>
      <c r="AN21" s="333" t="str">
        <f>IF(AJ21="","",VLOOKUP(V21,'AUX2'!$C$121:$E$125,3,0))</f>
        <v/>
      </c>
      <c r="AO21" s="336">
        <f>IF(AJ21&lt;=300,'AUX2'!$D$129,IF(AND(AJ21&gt;300,AJ21&lt;=600),'AUX2'!$D$130,IF(AND(AJ21&gt;600,AJ21&lt;=900),'AUX2'!$D$131,IF(AND(AJ21&gt;900,AJ21&lt;=1200),'AUX2'!$D$132,IF(AND(AJ21&gt;1200,AJ21&lt;=1500),'AUX2'!$D$133,IF(AJ21&gt;1500,'AUX2'!$D$134))))))</f>
        <v>0</v>
      </c>
      <c r="AP21" s="335">
        <f t="shared" si="6"/>
        <v>0</v>
      </c>
      <c r="AQ21" s="336">
        <f t="shared" si="3"/>
        <v>0</v>
      </c>
      <c r="AR21" s="336">
        <f t="shared" si="3"/>
        <v>0</v>
      </c>
      <c r="AS21" s="335">
        <f>T21*'AUX2'!$K$137</f>
        <v>0</v>
      </c>
      <c r="AU21" s="337" t="str">
        <f t="shared" si="7"/>
        <v/>
      </c>
      <c r="AV21" s="338">
        <f t="shared" si="8"/>
        <v>0</v>
      </c>
      <c r="AW21" s="338">
        <f t="shared" si="9"/>
        <v>0</v>
      </c>
      <c r="AX21" s="338">
        <f t="shared" si="10"/>
        <v>0</v>
      </c>
      <c r="AY21" s="339" t="str">
        <f t="shared" si="11"/>
        <v/>
      </c>
      <c r="AZ21" s="340">
        <f t="shared" si="12"/>
        <v>0</v>
      </c>
      <c r="BA21" s="341">
        <f t="shared" si="13"/>
        <v>0</v>
      </c>
      <c r="BC21" s="291" t="str">
        <f t="shared" si="14"/>
        <v/>
      </c>
      <c r="BD21" s="392"/>
    </row>
    <row r="22" spans="2:56" x14ac:dyDescent="0.25">
      <c r="V22" s="320"/>
      <c r="W22" s="320"/>
      <c r="X22" s="320"/>
      <c r="AH22" s="343">
        <f>SUM(AH7:AH21)</f>
        <v>0</v>
      </c>
      <c r="AI22" s="344">
        <f>SUM(AI7:AI21)</f>
        <v>0</v>
      </c>
      <c r="AJ22" s="343">
        <f>SUM(AJ7:AJ21)</f>
        <v>0</v>
      </c>
      <c r="AK22" s="343"/>
      <c r="AL22" s="345">
        <f>SUM(AL7:AL21)</f>
        <v>0</v>
      </c>
      <c r="AM22" s="343">
        <f>SUM(AM7:AM21)</f>
        <v>0</v>
      </c>
      <c r="AN22" s="345"/>
      <c r="AO22" s="344"/>
      <c r="AP22" s="345">
        <f>SUM(AP7:AP21)</f>
        <v>0</v>
      </c>
      <c r="AQ22" s="345">
        <f>SUM(AQ7:AQ21)</f>
        <v>0</v>
      </c>
      <c r="AR22" s="345">
        <f>SUM(AR7:AR21)</f>
        <v>0</v>
      </c>
      <c r="AS22" s="345">
        <f>SUM(AS7:AS21)</f>
        <v>0</v>
      </c>
      <c r="AU22" s="346">
        <f>SUM(AU7:AU21)</f>
        <v>0</v>
      </c>
      <c r="AV22" s="346">
        <f t="shared" ref="AV22:BA22" si="15">SUM(AV7:AV21)</f>
        <v>0</v>
      </c>
      <c r="AW22" s="346">
        <f t="shared" si="15"/>
        <v>0</v>
      </c>
      <c r="AX22" s="346">
        <f t="shared" si="15"/>
        <v>0</v>
      </c>
      <c r="AY22" s="346">
        <f t="shared" si="15"/>
        <v>0</v>
      </c>
      <c r="AZ22" s="346">
        <f t="shared" si="15"/>
        <v>0</v>
      </c>
      <c r="BA22" s="346">
        <f t="shared" si="15"/>
        <v>0</v>
      </c>
      <c r="BC22" s="300">
        <f>SUM(BC7:BC21)</f>
        <v>0</v>
      </c>
    </row>
    <row r="23" spans="2:56" x14ac:dyDescent="0.25">
      <c r="V23" s="320"/>
      <c r="W23" s="320"/>
      <c r="X23" s="320"/>
    </row>
  </sheetData>
  <sheetProtection algorithmName="SHA-512" hashValue="/EvHkOWTqXlGPK/uGUsfWer2EoLKxFzZgXNbNTZEepb4L1LUlv6FMJD/dqEjegZnB/KvKmdrqX1qZ+WEKCmIXQ==" saltValue="D6ME7ztqoqdFY9W9b1MJ/g==" spinCount="100000" sheet="1" objects="1" scenarios="1"/>
  <mergeCells count="32">
    <mergeCell ref="BC5:BC6"/>
    <mergeCell ref="BD5:BD6"/>
    <mergeCell ref="AA5:AA6"/>
    <mergeCell ref="AB5:AB6"/>
    <mergeCell ref="R5:T5"/>
    <mergeCell ref="U5:V5"/>
    <mergeCell ref="W5:X5"/>
    <mergeCell ref="Y5:Z5"/>
    <mergeCell ref="BA5:BA6"/>
    <mergeCell ref="AH5:AI5"/>
    <mergeCell ref="AQ5:AQ6"/>
    <mergeCell ref="AR5:AR6"/>
    <mergeCell ref="AS5:AS6"/>
    <mergeCell ref="U4:Z4"/>
    <mergeCell ref="B5:B6"/>
    <mergeCell ref="C5:C6"/>
    <mergeCell ref="D5:F5"/>
    <mergeCell ref="G5:H5"/>
    <mergeCell ref="J5:J6"/>
    <mergeCell ref="K5:K6"/>
    <mergeCell ref="M5:N5"/>
    <mergeCell ref="O5:P5"/>
    <mergeCell ref="Q5:Q6"/>
    <mergeCell ref="AU4:AV4"/>
    <mergeCell ref="AW4:AX4"/>
    <mergeCell ref="AY4:AZ4"/>
    <mergeCell ref="AU5:AU6"/>
    <mergeCell ref="AV5:AV6"/>
    <mergeCell ref="AW5:AW6"/>
    <mergeCell ref="AX5:AX6"/>
    <mergeCell ref="AY5:AY6"/>
    <mergeCell ref="AZ5:AZ6"/>
  </mergeCells>
  <dataValidations count="10">
    <dataValidation type="decimal" allowBlank="1" showInputMessage="1" showErrorMessage="1" prompt="Para: 1-Não Executado = Informar 0%; 2-Em Execução = Informar de 1% a 99%; 3-Executado = Informar 100%; 4-Substituído = Preencher a Coluna &quot;Comentários/justificativas&quot;; 5-Cancelado = Preencher a Coluna &quot;Comentários/justificativas&quot;." sqref="E7:E21">
      <formula1>0</formula1>
      <formula2>1</formula2>
    </dataValidation>
    <dataValidation allowBlank="1" showInputMessage="1" showErrorMessage="1" prompt="Se, &quot;Situação dos Planos&quot;: 4-Substituído = Informe os dados do Plano Substituto (Ex. Quantidade de diárias, quilometragem, destino da viagem etc. neste campo, sem alterar os dados originais); 5-Cancelado = Justifique o cancelamento do Plano de Ação." sqref="F7:F21"/>
    <dataValidation type="time" allowBlank="1" showInputMessage="1" showErrorMessage="1" errorTitle="FORMATO DE HORA" error="Informar HORA no formato: hh:mm" promptTitle="Formato de Hora" prompt="hh:mm" sqref="X7:X21 Z7:Z21">
      <formula1>0.000694444444444444</formula1>
      <formula2>0.999305555555556</formula2>
    </dataValidation>
    <dataValidation type="whole" allowBlank="1" showInputMessage="1" showErrorMessage="1" errorTitle="VALOR PASSAGENS" error="Informar o Valor das Passagens - IDA e VOLTA - dos contemplados com esse recurso, sem centavos" promptTitle="Passagens Aéreas" prompt="Informar Valor" sqref="R7:R21">
      <formula1>0</formula1>
      <formula2>30000</formula2>
    </dataValidation>
    <dataValidation type="whole" allowBlank="1" showInputMessage="1" showErrorMessage="1" errorTitle="VALOR PASSAGENS" error="Informar o Valor das Passagens - IDA e VOLTA - dos contemplados com esse recurso, sem centavos" promptTitle="Passagens Rodoviárias" prompt="Informar Valor" sqref="S7:S21">
      <formula1>0</formula1>
      <formula2>30000</formula2>
    </dataValidation>
    <dataValidation type="whole" allowBlank="1" showInputMessage="1" showErrorMessage="1" errorTitle="TAXA DESLOCAMENTO" error="Para QUANTOS Servidores ou Convidados será autorizado o pagamento de Taxa de Deslocamento (Embarque/Desembarque)" promptTitle="Taxa Deslocamento" prompt="Quantas Pessoas viajarão com Passagens (Aéreas ou Rodoviárias)" sqref="T7:T21">
      <formula1>0</formula1>
      <formula2>30</formula2>
    </dataValidation>
    <dataValidation type="whole" allowBlank="1" showErrorMessage="1" errorTitle="Km IDA e VOLTA" error="Informar somente NUMEROS inteiros, sem complementações" promptTitle="Km - IDA e VOLTA" prompt="Informe somente VALORES inteiros" sqref="U7:U21">
      <formula1>1</formula1>
      <formula2>10000</formula2>
    </dataValidation>
    <dataValidation type="decimal" allowBlank="1" showErrorMessage="1" errorTitle="DIÁRIAS - Quantidade" error="Informar somente números, com até uma casa decinal. Ex.: 0,5 / 1,5 / 2;_x000a_Número MÁXIMO permitido = 50 diárias" promptTitle="QUANTIDADE de DIÁRIAS" prompt="Se não haverá liberação de DIÁRIAS, deixar em branco. Informar Números com até uma casa decimal - Ex.: 0,5 - 1 - 1,5" sqref="Q7:Q21">
      <formula1>0.5</formula1>
      <formula2>50</formula2>
    </dataValidation>
    <dataValidation type="date" allowBlank="1" showInputMessage="1" showErrorMessage="1" errorTitle="DATA" error="Informar Datas do ano de 2025, no formato: dd/mm/aaaa" promptTitle="Formato de Data" prompt="dd/mm/aaaa" sqref="M7:N21 W7:W21 Y7:Y21">
      <formula1>45658</formula1>
      <formula2>46022</formula2>
    </dataValidation>
    <dataValidation type="list" allowBlank="1" showInputMessage="1" showErrorMessage="1" promptTitle="Situação dos Planos" prompt="Selecionar uma das opções da lista." sqref="D7:D21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Title="Meio de Transporte" prompt="Selecionar Opção">
          <x14:formula1>
            <xm:f>'AUX2'!$C$121:$C$125</xm:f>
          </x14:formula1>
          <xm:sqref>V7:V21</xm:sqref>
        </x14:dataValidation>
        <x14:dataValidation type="list" allowBlank="1" showInputMessage="1" showErrorMessage="1" promptTitle="Tipo de Evento" prompt="Selecionar Opção">
          <x14:formula1>
            <xm:f>'AUX2'!$C$72:$C$80</xm:f>
          </x14:formula1>
          <xm:sqref>G7:G21</xm:sqref>
        </x14:dataValidation>
        <x14:dataValidation type="list" operator="equal" allowBlank="1" showInputMessage="1" showErrorMessage="1" promptTitle="Dimensões" prompt="Selecionar Opção">
          <x14:formula1>
            <xm:f>'AUX2'!$G$97:$G$103</xm:f>
          </x14:formula1>
          <xm:sqref>I7:I21</xm:sqref>
        </x14:dataValidation>
        <x14:dataValidation type="list" allowBlank="1" showInputMessage="1" showErrorMessage="1" promptTitle="Tipo de Atividade" prompt="Selecionar Opção">
          <x14:formula1>
            <xm:f>'AUX2'!$C$98:$C$102</xm:f>
          </x14:formula1>
          <xm:sqref>H7:H21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BP1048554"/>
  <sheetViews>
    <sheetView showGridLines="0" zoomScale="80" zoomScaleNormal="80" workbookViewId="0"/>
  </sheetViews>
  <sheetFormatPr defaultColWidth="11.5703125" defaultRowHeight="15" x14ac:dyDescent="0.25"/>
  <cols>
    <col min="1" max="1" width="5.7109375" style="22" customWidth="1"/>
    <col min="2" max="2" width="7" style="22" customWidth="1"/>
    <col min="3" max="3" width="33.7109375" style="22" customWidth="1"/>
    <col min="4" max="4" width="18.140625" style="22" hidden="1" customWidth="1"/>
    <col min="5" max="5" width="12.28515625" style="22" hidden="1" customWidth="1"/>
    <col min="6" max="6" width="50.42578125" style="22" hidden="1" customWidth="1"/>
    <col min="7" max="7" width="43.28515625" style="22" customWidth="1"/>
    <col min="8" max="8" width="33" style="22" customWidth="1"/>
    <col min="9" max="9" width="48" style="22" customWidth="1"/>
    <col min="10" max="10" width="36" style="22" customWidth="1"/>
    <col min="11" max="11" width="20.7109375" style="22" customWidth="1"/>
    <col min="12" max="12" width="13.85546875" style="22" customWidth="1"/>
    <col min="13" max="13" width="20" style="22" customWidth="1"/>
    <col min="14" max="14" width="24.7109375" style="22" customWidth="1"/>
    <col min="15" max="15" width="48.28515625" style="18" customWidth="1"/>
    <col min="16" max="16" width="26" style="22" customWidth="1"/>
    <col min="17" max="17" width="37.42578125" style="22" customWidth="1"/>
    <col min="18" max="18" width="17" style="22" hidden="1" customWidth="1"/>
    <col min="19" max="19" width="8.5703125" style="22" hidden="1" customWidth="1"/>
    <col min="20" max="24" width="11.5703125" style="22" hidden="1" customWidth="1"/>
    <col min="25" max="25" width="16" style="22" hidden="1" customWidth="1"/>
    <col min="26" max="30" width="14.7109375" style="19" hidden="1" customWidth="1"/>
    <col min="31" max="31" width="11" style="19" hidden="1" customWidth="1"/>
    <col min="32" max="32" width="5.140625" style="19" hidden="1" customWidth="1"/>
    <col min="33" max="33" width="31.42578125" style="19" hidden="1" customWidth="1"/>
    <col min="34" max="36" width="12.85546875" style="19" hidden="1" customWidth="1"/>
    <col min="37" max="38" width="12.85546875" style="22" hidden="1" customWidth="1"/>
    <col min="39" max="39" width="6.7109375" style="22" customWidth="1"/>
    <col min="40" max="40" width="15.7109375" style="22" customWidth="1"/>
    <col min="41" max="41" width="52.7109375" style="22" customWidth="1"/>
    <col min="42" max="44" width="12.85546875" style="22" customWidth="1"/>
    <col min="45" max="68" width="8.5703125" style="22" customWidth="1"/>
  </cols>
  <sheetData>
    <row r="1" spans="1:68" x14ac:dyDescent="0.25">
      <c r="A1" s="18"/>
      <c r="B1" s="18"/>
      <c r="C1" s="18"/>
      <c r="D1" s="18"/>
      <c r="E1" s="18"/>
      <c r="F1" s="18"/>
      <c r="G1" s="11"/>
      <c r="H1" s="18"/>
      <c r="I1" s="18"/>
      <c r="J1" s="18"/>
      <c r="K1" s="18"/>
      <c r="L1" s="18"/>
      <c r="M1" s="18"/>
      <c r="N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8"/>
      <c r="AY1" s="18"/>
      <c r="AZ1" s="18"/>
      <c r="BA1" s="18"/>
      <c r="BB1" s="18"/>
      <c r="BC1" s="18"/>
      <c r="BD1" s="18"/>
      <c r="BE1" s="18"/>
      <c r="BF1" s="18"/>
      <c r="BG1" s="18"/>
      <c r="BH1" s="18"/>
      <c r="BI1" s="18"/>
      <c r="BJ1" s="18"/>
      <c r="BK1" s="18"/>
      <c r="BL1" s="18"/>
      <c r="BM1"/>
      <c r="BN1"/>
      <c r="BO1"/>
      <c r="BP1"/>
    </row>
    <row r="2" spans="1:68" ht="19.5" thickBot="1" x14ac:dyDescent="0.35">
      <c r="A2" s="19"/>
      <c r="B2" s="20" t="s">
        <v>455</v>
      </c>
      <c r="C2" s="23"/>
      <c r="D2" s="23"/>
      <c r="E2" s="23"/>
      <c r="F2" s="23"/>
      <c r="G2" s="32"/>
      <c r="H2" s="32"/>
      <c r="I2" s="32"/>
      <c r="J2" s="32"/>
      <c r="K2" s="32"/>
      <c r="L2" s="32"/>
      <c r="M2" s="32"/>
      <c r="N2" s="32"/>
      <c r="O2" s="32"/>
      <c r="P2" s="347" t="e">
        <f>VLOOKUP(IDENTIFICAÇÃO!C7,'AUX2'!C7:F57,3,FALSE)</f>
        <v>#N/A</v>
      </c>
      <c r="S2" s="18"/>
      <c r="T2" s="18"/>
      <c r="U2" s="18"/>
      <c r="V2" s="19"/>
      <c r="W2" s="19"/>
      <c r="X2" s="19"/>
      <c r="Y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Y2" s="19"/>
      <c r="AZ2" s="19"/>
      <c r="BA2" s="19"/>
      <c r="BB2" s="19"/>
      <c r="BC2" s="19"/>
      <c r="BD2" s="19"/>
      <c r="BE2" s="19"/>
      <c r="BF2" s="19"/>
      <c r="BG2" s="19"/>
      <c r="BH2" s="19"/>
      <c r="BI2" s="19"/>
      <c r="BJ2" s="19"/>
      <c r="BK2" s="19"/>
      <c r="BL2" s="19"/>
      <c r="BM2"/>
      <c r="BN2"/>
      <c r="BO2"/>
      <c r="BP2"/>
    </row>
    <row r="3" spans="1:68" x14ac:dyDescent="0.25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R3" s="19"/>
      <c r="V3" s="19"/>
      <c r="W3" s="19"/>
      <c r="X3" s="19"/>
      <c r="Y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/>
      <c r="BN3"/>
      <c r="BO3"/>
      <c r="BP3"/>
    </row>
    <row r="4" spans="1:68" ht="21.75" thickBot="1" x14ac:dyDescent="0.3">
      <c r="A4" s="19"/>
      <c r="B4" s="19"/>
      <c r="C4" s="348" t="s">
        <v>456</v>
      </c>
      <c r="D4" s="349"/>
      <c r="E4" s="349"/>
      <c r="F4" s="349"/>
      <c r="G4" s="350"/>
      <c r="H4" s="350"/>
      <c r="I4" s="350"/>
      <c r="O4" s="22"/>
      <c r="V4" s="19"/>
      <c r="W4" s="19"/>
      <c r="X4" s="19"/>
      <c r="Y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/>
      <c r="BN4"/>
      <c r="BO4"/>
      <c r="BP4"/>
    </row>
    <row r="5" spans="1:68" ht="15.75" thickBot="1" x14ac:dyDescent="0.3">
      <c r="A5" s="19"/>
      <c r="B5" s="19"/>
      <c r="O5" s="22"/>
      <c r="V5" s="351"/>
      <c r="X5" s="29"/>
      <c r="Y5" s="352" t="s">
        <v>343</v>
      </c>
      <c r="Z5" s="29" t="s">
        <v>344</v>
      </c>
      <c r="AA5" s="352" t="s">
        <v>345</v>
      </c>
      <c r="AB5" s="29" t="s">
        <v>346</v>
      </c>
      <c r="AC5" s="352" t="s">
        <v>364</v>
      </c>
      <c r="AD5" s="351"/>
      <c r="AK5" s="19"/>
      <c r="AL5" s="19"/>
      <c r="AM5" s="19"/>
      <c r="AN5" s="243" t="s">
        <v>449</v>
      </c>
      <c r="AO5" s="243" t="s">
        <v>537</v>
      </c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/>
      <c r="BN5"/>
      <c r="BO5"/>
      <c r="BP5"/>
    </row>
    <row r="6" spans="1:68" ht="15.75" thickBot="1" x14ac:dyDescent="0.3">
      <c r="A6" s="19"/>
      <c r="B6" s="536" t="s">
        <v>260</v>
      </c>
      <c r="C6" s="538" t="s">
        <v>261</v>
      </c>
      <c r="D6" s="528" t="s">
        <v>262</v>
      </c>
      <c r="E6" s="528"/>
      <c r="F6" s="528"/>
      <c r="G6" s="353" t="s">
        <v>263</v>
      </c>
      <c r="H6" s="324" t="s">
        <v>264</v>
      </c>
      <c r="I6" s="539" t="s">
        <v>265</v>
      </c>
      <c r="J6" s="539" t="s">
        <v>266</v>
      </c>
      <c r="K6" s="543" t="s">
        <v>414</v>
      </c>
      <c r="L6" s="547" t="s">
        <v>323</v>
      </c>
      <c r="M6" s="547"/>
      <c r="N6" s="548" t="s">
        <v>324</v>
      </c>
      <c r="O6" s="548" t="s">
        <v>325</v>
      </c>
      <c r="P6" s="548" t="s">
        <v>326</v>
      </c>
      <c r="Q6" s="545" t="s">
        <v>276</v>
      </c>
      <c r="S6" s="31" t="s">
        <v>277</v>
      </c>
      <c r="T6" s="31" t="s">
        <v>277</v>
      </c>
      <c r="U6" s="31" t="s">
        <v>277</v>
      </c>
      <c r="V6" s="31" t="s">
        <v>277</v>
      </c>
      <c r="W6" s="31" t="s">
        <v>277</v>
      </c>
      <c r="X6" s="31" t="s">
        <v>277</v>
      </c>
      <c r="Y6" s="29" t="s">
        <v>330</v>
      </c>
      <c r="Z6" s="29" t="s">
        <v>331</v>
      </c>
      <c r="AA6" s="29" t="s">
        <v>332</v>
      </c>
      <c r="AB6" s="29" t="s">
        <v>333</v>
      </c>
      <c r="AC6" s="29" t="s">
        <v>334</v>
      </c>
      <c r="AD6" s="31" t="s">
        <v>277</v>
      </c>
      <c r="AG6" s="538" t="s">
        <v>261</v>
      </c>
      <c r="AH6" s="541" t="s">
        <v>492</v>
      </c>
      <c r="AI6" s="542"/>
      <c r="AJ6" s="542"/>
      <c r="AK6" s="542"/>
      <c r="AL6" s="542"/>
      <c r="AM6" s="19"/>
      <c r="AN6" s="451" t="s">
        <v>258</v>
      </c>
      <c r="AO6" s="451" t="s">
        <v>536</v>
      </c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/>
      <c r="BN6"/>
      <c r="BO6"/>
      <c r="BP6"/>
    </row>
    <row r="7" spans="1:68" ht="30.75" thickBot="1" x14ac:dyDescent="0.3">
      <c r="A7" s="19"/>
      <c r="B7" s="537"/>
      <c r="C7" s="537"/>
      <c r="D7" s="75" t="s">
        <v>281</v>
      </c>
      <c r="E7" s="75" t="s">
        <v>282</v>
      </c>
      <c r="F7" s="75" t="s">
        <v>283</v>
      </c>
      <c r="G7" s="354" t="s">
        <v>327</v>
      </c>
      <c r="H7" s="355" t="s">
        <v>285</v>
      </c>
      <c r="I7" s="540"/>
      <c r="J7" s="540"/>
      <c r="K7" s="544"/>
      <c r="L7" s="355" t="s">
        <v>321</v>
      </c>
      <c r="M7" s="355" t="s">
        <v>322</v>
      </c>
      <c r="N7" s="546"/>
      <c r="O7" s="546"/>
      <c r="P7" s="546"/>
      <c r="Q7" s="546"/>
      <c r="S7" s="31" t="s">
        <v>290</v>
      </c>
      <c r="T7" s="31" t="s">
        <v>291</v>
      </c>
      <c r="U7" s="31" t="s">
        <v>292</v>
      </c>
      <c r="V7" s="356" t="s">
        <v>450</v>
      </c>
      <c r="W7" s="31" t="s">
        <v>328</v>
      </c>
      <c r="X7" s="31" t="s">
        <v>335</v>
      </c>
      <c r="Y7" s="357" t="s">
        <v>111</v>
      </c>
      <c r="Z7" s="357" t="s">
        <v>116</v>
      </c>
      <c r="AA7" s="357" t="s">
        <v>120</v>
      </c>
      <c r="AB7" s="357" t="s">
        <v>124</v>
      </c>
      <c r="AC7" s="357" t="s">
        <v>128</v>
      </c>
      <c r="AD7" s="356" t="s">
        <v>451</v>
      </c>
      <c r="AG7" s="537"/>
      <c r="AH7" s="358" t="s">
        <v>471</v>
      </c>
      <c r="AI7" s="29" t="s">
        <v>470</v>
      </c>
      <c r="AJ7" s="29" t="s">
        <v>10</v>
      </c>
      <c r="AK7" s="359" t="s">
        <v>472</v>
      </c>
      <c r="AL7" s="29" t="s">
        <v>258</v>
      </c>
      <c r="AM7" s="29"/>
      <c r="AN7" s="522"/>
      <c r="AO7" s="522"/>
      <c r="AP7" s="29"/>
      <c r="AQ7" s="29"/>
      <c r="AR7" s="2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/>
      <c r="BN7"/>
      <c r="BO7"/>
      <c r="BP7"/>
    </row>
    <row r="8" spans="1:68" ht="15.75" thickBot="1" x14ac:dyDescent="0.3">
      <c r="A8" s="19"/>
      <c r="B8" s="65">
        <v>1</v>
      </c>
      <c r="C8" s="360" t="str">
        <f t="shared" ref="C8:C22" si="0">IF(G8="","",CONCATENATE($P$2," ",TEXT(B8,"00")," - ",T8," - ",S8," - ",U8))</f>
        <v/>
      </c>
      <c r="D8" s="76"/>
      <c r="E8" s="77"/>
      <c r="F8" s="78"/>
      <c r="G8" s="79"/>
      <c r="H8" s="149"/>
      <c r="I8" s="68"/>
      <c r="J8" s="74"/>
      <c r="K8" s="213"/>
      <c r="L8" s="125"/>
      <c r="M8" s="129"/>
      <c r="N8" s="84"/>
      <c r="O8" s="67"/>
      <c r="P8" s="66"/>
      <c r="Q8" s="373"/>
      <c r="S8" s="27" t="str">
        <f>IF(G8="","",VLOOKUP(G8,'AUX2'!$C$62:$D$93,2,0))</f>
        <v/>
      </c>
      <c r="T8" s="27" t="str">
        <f>IF(S8="","",VLOOKUP(S8,'AUX2'!$D$62:$G$93,2,0))</f>
        <v/>
      </c>
      <c r="U8" s="27" t="str">
        <f>IF(S8="","",VLOOKUP(S8,'AUX2'!$D$81:$G$90,4,0))</f>
        <v/>
      </c>
      <c r="V8" s="361" t="str">
        <f>IF(T8="FUN",N8,"")</f>
        <v/>
      </c>
      <c r="W8" s="31" t="str">
        <f>IF(G8="","",VLOOKUP(G8,'AUX2'!$C$81:$G$90,2,0))</f>
        <v/>
      </c>
      <c r="X8" s="362" t="str">
        <f>IF(W8="","",N8)</f>
        <v/>
      </c>
      <c r="Y8" s="363">
        <f>IF($W8="",0,IF(Y$7=$W8,$X8,0))</f>
        <v>0</v>
      </c>
      <c r="Z8" s="363">
        <f>IF($W8="",0,IF(Z$7=$W8,$X8,0))</f>
        <v>0</v>
      </c>
      <c r="AA8" s="363">
        <f>IF($W8="",0,IF(AA$7=$W8,$X8,0))</f>
        <v>0</v>
      </c>
      <c r="AB8" s="363">
        <f>IF($W8="",0,IF(AB$7=$W8,$X8,0))</f>
        <v>0</v>
      </c>
      <c r="AC8" s="363" t="str">
        <f t="shared" ref="AC8" si="1">IF($W8="","",IF(AC$7=$W8,$X8,""))</f>
        <v/>
      </c>
      <c r="AD8" s="364" t="str">
        <f>IF(T8="FUN",X8,"")</f>
        <v/>
      </c>
      <c r="AG8" s="365" t="str">
        <f>IF(C8="","",C8)</f>
        <v/>
      </c>
      <c r="AH8" s="366" t="str">
        <f>AD8</f>
        <v/>
      </c>
      <c r="AI8" s="366">
        <f>IFERROR(Y8+Z8,0)</f>
        <v>0</v>
      </c>
      <c r="AJ8" s="366">
        <f>IFERROR(AA8+AB8,0)</f>
        <v>0</v>
      </c>
      <c r="AK8" s="366" t="str">
        <f>AC8</f>
        <v/>
      </c>
      <c r="AL8" s="366">
        <f>SUM(AH8:AK8)</f>
        <v>0</v>
      </c>
      <c r="AM8" s="19"/>
      <c r="AN8" s="291" t="str">
        <f>IF(AL8&gt;0,AL8,"")</f>
        <v/>
      </c>
      <c r="AO8" s="392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/>
      <c r="BN8"/>
      <c r="BO8"/>
      <c r="BP8"/>
    </row>
    <row r="9" spans="1:68" ht="15.75" thickBot="1" x14ac:dyDescent="0.3">
      <c r="A9" s="19"/>
      <c r="B9" s="65">
        <v>2</v>
      </c>
      <c r="C9" s="367" t="str">
        <f t="shared" si="0"/>
        <v/>
      </c>
      <c r="D9" s="76"/>
      <c r="E9" s="77"/>
      <c r="F9" s="78"/>
      <c r="G9" s="79"/>
      <c r="H9" s="149"/>
      <c r="I9" s="68"/>
      <c r="J9" s="74"/>
      <c r="K9" s="214"/>
      <c r="L9" s="70"/>
      <c r="M9" s="70"/>
      <c r="N9" s="84"/>
      <c r="O9" s="67"/>
      <c r="P9" s="66"/>
      <c r="Q9" s="373"/>
      <c r="S9" s="27" t="str">
        <f>IF(G9="","",VLOOKUP(G9,'AUX2'!$C$62:$D$93,2,0))</f>
        <v/>
      </c>
      <c r="T9" s="27" t="str">
        <f>IF(S9="","",VLOOKUP(S9,'AUX2'!$D$62:$G$93,2,0))</f>
        <v/>
      </c>
      <c r="U9" s="27" t="str">
        <f>IF(S9="","",VLOOKUP(S9,'AUX2'!$D$81:$G$90,4,0))</f>
        <v/>
      </c>
      <c r="V9" s="361"/>
      <c r="W9" s="31" t="str">
        <f>IF(G9="","",VLOOKUP(G9,'AUX2'!$C$81:$G$90,2,0))</f>
        <v/>
      </c>
      <c r="X9" s="362" t="str">
        <f t="shared" ref="X9:X12" si="2">IF(W9="","",N9)</f>
        <v/>
      </c>
      <c r="Y9" s="368">
        <f t="shared" ref="Y9:AB22" si="3">IF($W9="",0,IF(Y$7=$W9,$X9,0))</f>
        <v>0</v>
      </c>
      <c r="Z9" s="368">
        <f t="shared" si="3"/>
        <v>0</v>
      </c>
      <c r="AA9" s="368">
        <f t="shared" si="3"/>
        <v>0</v>
      </c>
      <c r="AB9" s="368">
        <f t="shared" si="3"/>
        <v>0</v>
      </c>
      <c r="AC9" s="368" t="str">
        <f t="shared" ref="AC9:AC22" si="4">IF($W9="","",IF(AC$7=$W9,$X9,""))</f>
        <v/>
      </c>
      <c r="AD9" s="364" t="str">
        <f>IF(T9="FUN",X9,"")</f>
        <v/>
      </c>
      <c r="AG9" s="365" t="str">
        <f t="shared" ref="AG9:AG22" si="5">IF(C9="","",C9)</f>
        <v/>
      </c>
      <c r="AH9" s="366" t="str">
        <f t="shared" ref="AH9:AH22" si="6">AD9</f>
        <v/>
      </c>
      <c r="AI9" s="366">
        <f t="shared" ref="AI9:AI22" si="7">IFERROR(Y9+Z9,0)</f>
        <v>0</v>
      </c>
      <c r="AJ9" s="366">
        <f t="shared" ref="AJ9:AJ22" si="8">IFERROR(AA9+AB9,0)</f>
        <v>0</v>
      </c>
      <c r="AK9" s="366" t="str">
        <f t="shared" ref="AK9:AK22" si="9">AC9</f>
        <v/>
      </c>
      <c r="AL9" s="366">
        <f t="shared" ref="AL9:AL22" si="10">SUM(AH9:AK9)</f>
        <v>0</v>
      </c>
      <c r="AM9" s="19"/>
      <c r="AN9" s="291" t="str">
        <f t="shared" ref="AN9:AN22" si="11">IF(AL9&gt;0,AL9,"")</f>
        <v/>
      </c>
      <c r="AO9" s="392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/>
      <c r="BN9"/>
      <c r="BO9"/>
      <c r="BP9"/>
    </row>
    <row r="10" spans="1:68" ht="15.75" thickBot="1" x14ac:dyDescent="0.3">
      <c r="A10" s="19"/>
      <c r="B10" s="65">
        <v>3</v>
      </c>
      <c r="C10" s="367" t="str">
        <f t="shared" si="0"/>
        <v/>
      </c>
      <c r="D10" s="76"/>
      <c r="E10" s="77"/>
      <c r="F10" s="78"/>
      <c r="G10" s="79"/>
      <c r="H10" s="149"/>
      <c r="I10" s="68"/>
      <c r="J10" s="68"/>
      <c r="K10" s="213"/>
      <c r="L10" s="70"/>
      <c r="M10" s="70"/>
      <c r="N10" s="84"/>
      <c r="O10" s="67"/>
      <c r="P10" s="66"/>
      <c r="Q10" s="373"/>
      <c r="S10" s="27" t="str">
        <f>IF(G10="","",VLOOKUP(G10,'AUX2'!$C$62:$D$93,2,0))</f>
        <v/>
      </c>
      <c r="T10" s="27" t="str">
        <f>IF(S10="","",VLOOKUP(S10,'AUX2'!$D$62:$G$93,2,0))</f>
        <v/>
      </c>
      <c r="U10" s="27" t="str">
        <f>IF(S10="","",VLOOKUP(S10,'AUX2'!$D$81:$G$90,4,0))</f>
        <v/>
      </c>
      <c r="V10" s="361"/>
      <c r="W10" s="31" t="str">
        <f>IF(G10="","",VLOOKUP(G10,'AUX2'!$C$81:$G$90,2,0))</f>
        <v/>
      </c>
      <c r="X10" s="362" t="str">
        <f t="shared" si="2"/>
        <v/>
      </c>
      <c r="Y10" s="368">
        <f t="shared" si="3"/>
        <v>0</v>
      </c>
      <c r="Z10" s="368">
        <f t="shared" si="3"/>
        <v>0</v>
      </c>
      <c r="AA10" s="368">
        <f t="shared" si="3"/>
        <v>0</v>
      </c>
      <c r="AB10" s="368">
        <f t="shared" si="3"/>
        <v>0</v>
      </c>
      <c r="AC10" s="368" t="str">
        <f t="shared" si="4"/>
        <v/>
      </c>
      <c r="AD10" s="364" t="str">
        <f>IF(T10="FUN",X10,"")</f>
        <v/>
      </c>
      <c r="AG10" s="365" t="str">
        <f t="shared" si="5"/>
        <v/>
      </c>
      <c r="AH10" s="366" t="str">
        <f t="shared" si="6"/>
        <v/>
      </c>
      <c r="AI10" s="366">
        <f t="shared" si="7"/>
        <v>0</v>
      </c>
      <c r="AJ10" s="366">
        <f t="shared" si="8"/>
        <v>0</v>
      </c>
      <c r="AK10" s="366" t="str">
        <f t="shared" si="9"/>
        <v/>
      </c>
      <c r="AL10" s="366">
        <f t="shared" si="10"/>
        <v>0</v>
      </c>
      <c r="AM10" s="19"/>
      <c r="AN10" s="291" t="str">
        <f t="shared" si="11"/>
        <v/>
      </c>
      <c r="AO10" s="392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/>
      <c r="BN10"/>
      <c r="BO10"/>
      <c r="BP10"/>
    </row>
    <row r="11" spans="1:68" ht="15.75" thickBot="1" x14ac:dyDescent="0.3">
      <c r="A11" s="19"/>
      <c r="B11" s="65">
        <v>4</v>
      </c>
      <c r="C11" s="367" t="str">
        <f t="shared" si="0"/>
        <v/>
      </c>
      <c r="D11" s="76"/>
      <c r="E11" s="77"/>
      <c r="F11" s="78"/>
      <c r="G11" s="79"/>
      <c r="H11" s="149"/>
      <c r="I11" s="68"/>
      <c r="J11" s="68"/>
      <c r="K11" s="213"/>
      <c r="L11" s="70"/>
      <c r="M11" s="70"/>
      <c r="N11" s="84"/>
      <c r="O11" s="67"/>
      <c r="P11" s="66"/>
      <c r="Q11" s="374"/>
      <c r="S11" s="27" t="str">
        <f>IF(G11="","",VLOOKUP(G11,'AUX2'!$C$62:$D$93,2,0))</f>
        <v/>
      </c>
      <c r="T11" s="27" t="str">
        <f>IF(S11="","",VLOOKUP(S11,'AUX2'!$D$62:$G$93,2,0))</f>
        <v/>
      </c>
      <c r="U11" s="27" t="str">
        <f>IF(S11="","",VLOOKUP(S11,'AUX2'!$D$81:$G$90,4,0))</f>
        <v/>
      </c>
      <c r="V11" s="361"/>
      <c r="W11" s="31" t="str">
        <f>IF(G11="","",VLOOKUP(G11,'AUX2'!$C$81:$G$90,2,0))</f>
        <v/>
      </c>
      <c r="X11" s="362" t="str">
        <f t="shared" si="2"/>
        <v/>
      </c>
      <c r="Y11" s="368">
        <f t="shared" si="3"/>
        <v>0</v>
      </c>
      <c r="Z11" s="368">
        <f t="shared" si="3"/>
        <v>0</v>
      </c>
      <c r="AA11" s="368">
        <f t="shared" si="3"/>
        <v>0</v>
      </c>
      <c r="AB11" s="368">
        <f t="shared" si="3"/>
        <v>0</v>
      </c>
      <c r="AC11" s="368" t="str">
        <f t="shared" si="4"/>
        <v/>
      </c>
      <c r="AD11" s="364" t="str">
        <f>IF(T11="FUN",X11,"")</f>
        <v/>
      </c>
      <c r="AG11" s="365" t="str">
        <f t="shared" si="5"/>
        <v/>
      </c>
      <c r="AH11" s="366" t="str">
        <f t="shared" si="6"/>
        <v/>
      </c>
      <c r="AI11" s="366">
        <f t="shared" si="7"/>
        <v>0</v>
      </c>
      <c r="AJ11" s="366">
        <f t="shared" si="8"/>
        <v>0</v>
      </c>
      <c r="AK11" s="366" t="str">
        <f t="shared" si="9"/>
        <v/>
      </c>
      <c r="AL11" s="366">
        <f t="shared" si="10"/>
        <v>0</v>
      </c>
      <c r="AM11" s="19"/>
      <c r="AN11" s="291" t="str">
        <f t="shared" si="11"/>
        <v/>
      </c>
      <c r="AO11" s="392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/>
      <c r="BN11"/>
      <c r="BO11"/>
      <c r="BP11"/>
    </row>
    <row r="12" spans="1:68" ht="15.75" thickBot="1" x14ac:dyDescent="0.3">
      <c r="A12" s="19"/>
      <c r="B12" s="65">
        <v>5</v>
      </c>
      <c r="C12" s="367" t="str">
        <f t="shared" si="0"/>
        <v/>
      </c>
      <c r="D12" s="76"/>
      <c r="E12" s="77"/>
      <c r="F12" s="78"/>
      <c r="G12" s="79"/>
      <c r="H12" s="149"/>
      <c r="I12" s="68"/>
      <c r="J12" s="68"/>
      <c r="K12" s="213"/>
      <c r="L12" s="70"/>
      <c r="M12" s="70"/>
      <c r="N12" s="84"/>
      <c r="O12" s="67"/>
      <c r="P12" s="66"/>
      <c r="Q12" s="374"/>
      <c r="S12" s="27" t="str">
        <f>IF(G12="","",VLOOKUP(G12,'AUX2'!$C$62:$D$93,2,0))</f>
        <v/>
      </c>
      <c r="T12" s="27" t="str">
        <f>IF(S12="","",VLOOKUP(S12,'AUX2'!$D$62:$G$93,2,0))</f>
        <v/>
      </c>
      <c r="U12" s="27" t="str">
        <f>IF(S12="","",VLOOKUP(S12,'AUX2'!$D$81:$G$90,4,0))</f>
        <v/>
      </c>
      <c r="V12" s="361"/>
      <c r="W12" s="31" t="str">
        <f>IF(G12="","",VLOOKUP(G12,'AUX2'!$C$81:$G$90,2,0))</f>
        <v/>
      </c>
      <c r="X12" s="362" t="str">
        <f t="shared" si="2"/>
        <v/>
      </c>
      <c r="Y12" s="368">
        <f t="shared" si="3"/>
        <v>0</v>
      </c>
      <c r="Z12" s="368">
        <f t="shared" si="3"/>
        <v>0</v>
      </c>
      <c r="AA12" s="368">
        <f t="shared" si="3"/>
        <v>0</v>
      </c>
      <c r="AB12" s="368">
        <f t="shared" si="3"/>
        <v>0</v>
      </c>
      <c r="AC12" s="368" t="str">
        <f t="shared" si="4"/>
        <v/>
      </c>
      <c r="AD12" s="364" t="str">
        <f t="shared" ref="AD12:AD22" si="12">IF(T12="FUN",X12,"")</f>
        <v/>
      </c>
      <c r="AG12" s="365" t="str">
        <f t="shared" si="5"/>
        <v/>
      </c>
      <c r="AH12" s="366" t="str">
        <f t="shared" si="6"/>
        <v/>
      </c>
      <c r="AI12" s="366">
        <f t="shared" si="7"/>
        <v>0</v>
      </c>
      <c r="AJ12" s="366">
        <f t="shared" si="8"/>
        <v>0</v>
      </c>
      <c r="AK12" s="366" t="str">
        <f t="shared" si="9"/>
        <v/>
      </c>
      <c r="AL12" s="366">
        <f t="shared" si="10"/>
        <v>0</v>
      </c>
      <c r="AM12" s="19"/>
      <c r="AN12" s="291" t="str">
        <f t="shared" si="11"/>
        <v/>
      </c>
      <c r="AO12" s="392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/>
      <c r="BN12"/>
      <c r="BO12"/>
      <c r="BP12"/>
    </row>
    <row r="13" spans="1:68" ht="15.75" thickBot="1" x14ac:dyDescent="0.3">
      <c r="A13" s="19"/>
      <c r="B13" s="65">
        <v>6</v>
      </c>
      <c r="C13" s="367" t="str">
        <f t="shared" si="0"/>
        <v/>
      </c>
      <c r="D13" s="76"/>
      <c r="E13" s="77"/>
      <c r="F13" s="78"/>
      <c r="G13" s="79"/>
      <c r="H13" s="149"/>
      <c r="I13" s="68"/>
      <c r="J13" s="68"/>
      <c r="K13" s="213"/>
      <c r="L13" s="70"/>
      <c r="M13" s="70"/>
      <c r="N13" s="84"/>
      <c r="O13" s="67"/>
      <c r="P13" s="66"/>
      <c r="Q13" s="374"/>
      <c r="R13" s="19"/>
      <c r="S13" s="27" t="str">
        <f>IF(G13="","",VLOOKUP(G13,'AUX2'!$C$62:$D$93,2,0))</f>
        <v/>
      </c>
      <c r="T13" s="27" t="str">
        <f>IF(S13="","",VLOOKUP(S13,'AUX2'!$D$62:$G$93,2,0))</f>
        <v/>
      </c>
      <c r="U13" s="27" t="str">
        <f>IF(S13="","",VLOOKUP(S13,'AUX2'!$D$81:$G$90,4,0))</f>
        <v/>
      </c>
      <c r="V13" s="361"/>
      <c r="W13" s="31" t="str">
        <f>IF(G13="","",VLOOKUP(G13,'AUX2'!$C$81:$G$90,2,0))</f>
        <v/>
      </c>
      <c r="X13" s="362" t="str">
        <f t="shared" ref="X13:X22" si="13">IF(W13="","",N13)</f>
        <v/>
      </c>
      <c r="Y13" s="368">
        <f t="shared" si="3"/>
        <v>0</v>
      </c>
      <c r="Z13" s="368">
        <f t="shared" si="3"/>
        <v>0</v>
      </c>
      <c r="AA13" s="368">
        <f t="shared" si="3"/>
        <v>0</v>
      </c>
      <c r="AB13" s="368">
        <f t="shared" si="3"/>
        <v>0</v>
      </c>
      <c r="AC13" s="368" t="str">
        <f t="shared" si="4"/>
        <v/>
      </c>
      <c r="AD13" s="364" t="str">
        <f t="shared" si="12"/>
        <v/>
      </c>
      <c r="AG13" s="365" t="str">
        <f t="shared" si="5"/>
        <v/>
      </c>
      <c r="AH13" s="366" t="str">
        <f t="shared" si="6"/>
        <v/>
      </c>
      <c r="AI13" s="366">
        <f t="shared" si="7"/>
        <v>0</v>
      </c>
      <c r="AJ13" s="366">
        <f t="shared" si="8"/>
        <v>0</v>
      </c>
      <c r="AK13" s="366" t="str">
        <f t="shared" si="9"/>
        <v/>
      </c>
      <c r="AL13" s="366">
        <f t="shared" si="10"/>
        <v>0</v>
      </c>
      <c r="AM13" s="19"/>
      <c r="AN13" s="291" t="str">
        <f t="shared" si="11"/>
        <v/>
      </c>
      <c r="AO13" s="392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/>
      <c r="BN13"/>
      <c r="BO13"/>
      <c r="BP13"/>
    </row>
    <row r="14" spans="1:68" ht="15.75" thickBot="1" x14ac:dyDescent="0.3">
      <c r="A14" s="19"/>
      <c r="B14" s="65">
        <v>7</v>
      </c>
      <c r="C14" s="367" t="str">
        <f t="shared" si="0"/>
        <v/>
      </c>
      <c r="D14" s="76"/>
      <c r="E14" s="77"/>
      <c r="F14" s="78"/>
      <c r="G14" s="79"/>
      <c r="H14" s="149"/>
      <c r="I14" s="68"/>
      <c r="J14" s="68"/>
      <c r="K14" s="213"/>
      <c r="L14" s="70"/>
      <c r="M14" s="70"/>
      <c r="N14" s="84"/>
      <c r="O14" s="67"/>
      <c r="P14" s="66"/>
      <c r="Q14" s="374"/>
      <c r="R14" s="19"/>
      <c r="S14" s="27" t="str">
        <f>IF(G14="","",VLOOKUP(G14,'AUX2'!$C$62:$D$93,2,0))</f>
        <v/>
      </c>
      <c r="T14" s="27" t="str">
        <f>IF(S14="","",VLOOKUP(S14,'AUX2'!$D$62:$G$93,2,0))</f>
        <v/>
      </c>
      <c r="U14" s="27" t="str">
        <f>IF(S14="","",VLOOKUP(S14,'AUX2'!$D$81:$G$90,4,0))</f>
        <v/>
      </c>
      <c r="V14" s="361"/>
      <c r="W14" s="31" t="str">
        <f>IF(G14="","",VLOOKUP(G14,'AUX2'!$C$81:$G$90,2,0))</f>
        <v/>
      </c>
      <c r="X14" s="362" t="str">
        <f t="shared" si="13"/>
        <v/>
      </c>
      <c r="Y14" s="368">
        <f t="shared" si="3"/>
        <v>0</v>
      </c>
      <c r="Z14" s="368">
        <f t="shared" si="3"/>
        <v>0</v>
      </c>
      <c r="AA14" s="368">
        <f t="shared" si="3"/>
        <v>0</v>
      </c>
      <c r="AB14" s="368">
        <f t="shared" si="3"/>
        <v>0</v>
      </c>
      <c r="AC14" s="368" t="str">
        <f t="shared" si="4"/>
        <v/>
      </c>
      <c r="AD14" s="364" t="str">
        <f t="shared" si="12"/>
        <v/>
      </c>
      <c r="AG14" s="365" t="str">
        <f t="shared" si="5"/>
        <v/>
      </c>
      <c r="AH14" s="366" t="str">
        <f t="shared" si="6"/>
        <v/>
      </c>
      <c r="AI14" s="366">
        <f t="shared" si="7"/>
        <v>0</v>
      </c>
      <c r="AJ14" s="366">
        <f t="shared" si="8"/>
        <v>0</v>
      </c>
      <c r="AK14" s="366" t="str">
        <f t="shared" si="9"/>
        <v/>
      </c>
      <c r="AL14" s="366">
        <f t="shared" si="10"/>
        <v>0</v>
      </c>
      <c r="AM14" s="19"/>
      <c r="AN14" s="291" t="str">
        <f t="shared" si="11"/>
        <v/>
      </c>
      <c r="AO14" s="392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/>
      <c r="BN14"/>
      <c r="BO14"/>
      <c r="BP14"/>
    </row>
    <row r="15" spans="1:68" ht="15.75" thickBot="1" x14ac:dyDescent="0.3">
      <c r="A15" s="19"/>
      <c r="B15" s="65">
        <v>8</v>
      </c>
      <c r="C15" s="367" t="str">
        <f t="shared" si="0"/>
        <v/>
      </c>
      <c r="D15" s="76"/>
      <c r="E15" s="77"/>
      <c r="F15" s="78"/>
      <c r="G15" s="79"/>
      <c r="H15" s="149"/>
      <c r="I15" s="68"/>
      <c r="J15" s="68"/>
      <c r="K15" s="213"/>
      <c r="L15" s="70"/>
      <c r="M15" s="70"/>
      <c r="N15" s="84"/>
      <c r="O15" s="67"/>
      <c r="P15" s="66"/>
      <c r="Q15" s="374"/>
      <c r="R15" s="19"/>
      <c r="S15" s="27" t="str">
        <f>IF(G15="","",VLOOKUP(G15,'AUX2'!$C$62:$D$93,2,0))</f>
        <v/>
      </c>
      <c r="T15" s="27" t="str">
        <f>IF(S15="","",VLOOKUP(S15,'AUX2'!$D$62:$G$93,2,0))</f>
        <v/>
      </c>
      <c r="U15" s="27" t="str">
        <f>IF(S15="","",VLOOKUP(S15,'AUX2'!$D$81:$G$90,4,0))</f>
        <v/>
      </c>
      <c r="V15" s="361"/>
      <c r="W15" s="31" t="str">
        <f>IF(G15="","",VLOOKUP(G15,'AUX2'!$C$81:$G$90,2,0))</f>
        <v/>
      </c>
      <c r="X15" s="362" t="str">
        <f t="shared" si="13"/>
        <v/>
      </c>
      <c r="Y15" s="368">
        <f t="shared" si="3"/>
        <v>0</v>
      </c>
      <c r="Z15" s="368">
        <f t="shared" si="3"/>
        <v>0</v>
      </c>
      <c r="AA15" s="368">
        <f t="shared" si="3"/>
        <v>0</v>
      </c>
      <c r="AB15" s="368">
        <f t="shared" si="3"/>
        <v>0</v>
      </c>
      <c r="AC15" s="368" t="str">
        <f t="shared" si="4"/>
        <v/>
      </c>
      <c r="AD15" s="364" t="str">
        <f t="shared" si="12"/>
        <v/>
      </c>
      <c r="AG15" s="365" t="str">
        <f t="shared" si="5"/>
        <v/>
      </c>
      <c r="AH15" s="366" t="str">
        <f t="shared" si="6"/>
        <v/>
      </c>
      <c r="AI15" s="366">
        <f t="shared" si="7"/>
        <v>0</v>
      </c>
      <c r="AJ15" s="366">
        <f t="shared" si="8"/>
        <v>0</v>
      </c>
      <c r="AK15" s="366" t="str">
        <f t="shared" si="9"/>
        <v/>
      </c>
      <c r="AL15" s="366">
        <f t="shared" si="10"/>
        <v>0</v>
      </c>
      <c r="AM15" s="19"/>
      <c r="AN15" s="291" t="str">
        <f t="shared" si="11"/>
        <v/>
      </c>
      <c r="AO15" s="392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/>
      <c r="BN15"/>
      <c r="BO15"/>
      <c r="BP15"/>
    </row>
    <row r="16" spans="1:68" ht="15.75" thickBot="1" x14ac:dyDescent="0.3">
      <c r="A16" s="19"/>
      <c r="B16" s="65">
        <v>9</v>
      </c>
      <c r="C16" s="367" t="str">
        <f t="shared" si="0"/>
        <v/>
      </c>
      <c r="D16" s="76"/>
      <c r="E16" s="77"/>
      <c r="F16" s="78"/>
      <c r="G16" s="79"/>
      <c r="H16" s="149"/>
      <c r="I16" s="68"/>
      <c r="J16" s="68"/>
      <c r="K16" s="213"/>
      <c r="L16" s="70"/>
      <c r="M16" s="70"/>
      <c r="N16" s="84"/>
      <c r="O16" s="67"/>
      <c r="P16" s="66"/>
      <c r="Q16" s="374"/>
      <c r="R16" s="19"/>
      <c r="S16" s="27" t="str">
        <f>IF(G16="","",VLOOKUP(G16,'AUX2'!$C$62:$D$93,2,0))</f>
        <v/>
      </c>
      <c r="T16" s="27" t="str">
        <f>IF(S16="","",VLOOKUP(S16,'AUX2'!$D$62:$G$93,2,0))</f>
        <v/>
      </c>
      <c r="U16" s="27" t="str">
        <f>IF(S16="","",VLOOKUP(S16,'AUX2'!$D$81:$G$90,4,0))</f>
        <v/>
      </c>
      <c r="V16" s="361"/>
      <c r="W16" s="31" t="str">
        <f>IF(G16="","",VLOOKUP(G16,'AUX2'!$C$81:$G$90,2,0))</f>
        <v/>
      </c>
      <c r="X16" s="362" t="str">
        <f t="shared" si="13"/>
        <v/>
      </c>
      <c r="Y16" s="368">
        <f t="shared" si="3"/>
        <v>0</v>
      </c>
      <c r="Z16" s="368">
        <f t="shared" si="3"/>
        <v>0</v>
      </c>
      <c r="AA16" s="368">
        <f t="shared" si="3"/>
        <v>0</v>
      </c>
      <c r="AB16" s="368">
        <f t="shared" si="3"/>
        <v>0</v>
      </c>
      <c r="AC16" s="368" t="str">
        <f t="shared" si="4"/>
        <v/>
      </c>
      <c r="AD16" s="364" t="str">
        <f t="shared" si="12"/>
        <v/>
      </c>
      <c r="AG16" s="365" t="str">
        <f t="shared" si="5"/>
        <v/>
      </c>
      <c r="AH16" s="366" t="str">
        <f t="shared" si="6"/>
        <v/>
      </c>
      <c r="AI16" s="366">
        <f t="shared" si="7"/>
        <v>0</v>
      </c>
      <c r="AJ16" s="366">
        <f t="shared" si="8"/>
        <v>0</v>
      </c>
      <c r="AK16" s="366" t="str">
        <f t="shared" si="9"/>
        <v/>
      </c>
      <c r="AL16" s="366">
        <f t="shared" si="10"/>
        <v>0</v>
      </c>
      <c r="AM16" s="19"/>
      <c r="AN16" s="291" t="str">
        <f t="shared" si="11"/>
        <v/>
      </c>
      <c r="AO16" s="392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/>
      <c r="BN16"/>
      <c r="BO16"/>
      <c r="BP16"/>
    </row>
    <row r="17" spans="2:68" s="18" customFormat="1" ht="15.75" thickBot="1" x14ac:dyDescent="0.3">
      <c r="B17" s="65">
        <v>10</v>
      </c>
      <c r="C17" s="367" t="str">
        <f t="shared" si="0"/>
        <v/>
      </c>
      <c r="D17" s="76"/>
      <c r="E17" s="77"/>
      <c r="F17" s="78"/>
      <c r="G17" s="79"/>
      <c r="H17" s="149"/>
      <c r="I17" s="68"/>
      <c r="J17" s="68"/>
      <c r="K17" s="213"/>
      <c r="L17" s="70"/>
      <c r="M17" s="70"/>
      <c r="N17" s="84"/>
      <c r="O17" s="67"/>
      <c r="P17" s="66"/>
      <c r="Q17" s="374"/>
      <c r="S17" s="27" t="str">
        <f>IF(G17="","",VLOOKUP(G17,'AUX2'!$C$62:$D$93,2,0))</f>
        <v/>
      </c>
      <c r="T17" s="27" t="str">
        <f>IF(S17="","",VLOOKUP(S17,'AUX2'!$D$62:$G$93,2,0))</f>
        <v/>
      </c>
      <c r="U17" s="27" t="str">
        <f>IF(S17="","",VLOOKUP(S17,'AUX2'!$D$81:$G$90,4,0))</f>
        <v/>
      </c>
      <c r="V17" s="361"/>
      <c r="W17" s="31" t="str">
        <f>IF(G17="","",VLOOKUP(G17,'AUX2'!$C$81:$G$90,2,0))</f>
        <v/>
      </c>
      <c r="X17" s="362" t="str">
        <f t="shared" si="13"/>
        <v/>
      </c>
      <c r="Y17" s="368">
        <f t="shared" si="3"/>
        <v>0</v>
      </c>
      <c r="Z17" s="368">
        <f t="shared" si="3"/>
        <v>0</v>
      </c>
      <c r="AA17" s="368">
        <f t="shared" si="3"/>
        <v>0</v>
      </c>
      <c r="AB17" s="368">
        <f t="shared" si="3"/>
        <v>0</v>
      </c>
      <c r="AC17" s="368" t="str">
        <f t="shared" si="4"/>
        <v/>
      </c>
      <c r="AD17" s="364" t="str">
        <f t="shared" si="12"/>
        <v/>
      </c>
      <c r="AG17" s="365" t="str">
        <f t="shared" si="5"/>
        <v/>
      </c>
      <c r="AH17" s="366" t="str">
        <f t="shared" si="6"/>
        <v/>
      </c>
      <c r="AI17" s="366">
        <f t="shared" si="7"/>
        <v>0</v>
      </c>
      <c r="AJ17" s="366">
        <f t="shared" si="8"/>
        <v>0</v>
      </c>
      <c r="AK17" s="366" t="str">
        <f t="shared" si="9"/>
        <v/>
      </c>
      <c r="AL17" s="366">
        <f t="shared" si="10"/>
        <v>0</v>
      </c>
      <c r="AN17" s="291" t="str">
        <f t="shared" si="11"/>
        <v/>
      </c>
      <c r="AO17" s="392"/>
      <c r="BM17"/>
      <c r="BN17"/>
      <c r="BO17"/>
      <c r="BP17"/>
    </row>
    <row r="18" spans="2:68" s="18" customFormat="1" ht="15.75" thickBot="1" x14ac:dyDescent="0.3">
      <c r="B18" s="65">
        <v>11</v>
      </c>
      <c r="C18" s="367" t="str">
        <f t="shared" si="0"/>
        <v/>
      </c>
      <c r="D18" s="76"/>
      <c r="E18" s="77"/>
      <c r="F18" s="78"/>
      <c r="G18" s="79"/>
      <c r="H18" s="149"/>
      <c r="I18" s="68"/>
      <c r="J18" s="68"/>
      <c r="K18" s="213"/>
      <c r="L18" s="70"/>
      <c r="M18" s="70"/>
      <c r="N18" s="84"/>
      <c r="O18" s="67"/>
      <c r="P18" s="66"/>
      <c r="Q18" s="374"/>
      <c r="S18" s="27" t="str">
        <f>IF(G18="","",VLOOKUP(G18,'AUX2'!$C$62:$D$93,2,0))</f>
        <v/>
      </c>
      <c r="T18" s="27" t="str">
        <f>IF(S18="","",VLOOKUP(S18,'AUX2'!$D$62:$G$93,2,0))</f>
        <v/>
      </c>
      <c r="U18" s="27" t="str">
        <f>IF(S18="","",VLOOKUP(S18,'AUX2'!$D$81:$G$90,4,0))</f>
        <v/>
      </c>
      <c r="V18" s="361"/>
      <c r="W18" s="31" t="str">
        <f>IF(G18="","",VLOOKUP(G18,'AUX2'!$C$81:$G$90,2,0))</f>
        <v/>
      </c>
      <c r="X18" s="362" t="str">
        <f t="shared" si="13"/>
        <v/>
      </c>
      <c r="Y18" s="368">
        <f t="shared" si="3"/>
        <v>0</v>
      </c>
      <c r="Z18" s="368">
        <f t="shared" si="3"/>
        <v>0</v>
      </c>
      <c r="AA18" s="368">
        <f t="shared" si="3"/>
        <v>0</v>
      </c>
      <c r="AB18" s="368">
        <f t="shared" si="3"/>
        <v>0</v>
      </c>
      <c r="AC18" s="368" t="str">
        <f t="shared" si="4"/>
        <v/>
      </c>
      <c r="AD18" s="364" t="str">
        <f t="shared" si="12"/>
        <v/>
      </c>
      <c r="AG18" s="365" t="str">
        <f t="shared" si="5"/>
        <v/>
      </c>
      <c r="AH18" s="366" t="str">
        <f t="shared" si="6"/>
        <v/>
      </c>
      <c r="AI18" s="366">
        <f t="shared" si="7"/>
        <v>0</v>
      </c>
      <c r="AJ18" s="366">
        <f t="shared" si="8"/>
        <v>0</v>
      </c>
      <c r="AK18" s="366" t="str">
        <f t="shared" si="9"/>
        <v/>
      </c>
      <c r="AL18" s="366">
        <f t="shared" si="10"/>
        <v>0</v>
      </c>
      <c r="AN18" s="291" t="str">
        <f t="shared" si="11"/>
        <v/>
      </c>
      <c r="AO18" s="392"/>
      <c r="BM18"/>
      <c r="BN18"/>
      <c r="BO18"/>
      <c r="BP18"/>
    </row>
    <row r="19" spans="2:68" s="18" customFormat="1" ht="15.75" thickBot="1" x14ac:dyDescent="0.3">
      <c r="B19" s="65">
        <v>12</v>
      </c>
      <c r="C19" s="367" t="str">
        <f t="shared" si="0"/>
        <v/>
      </c>
      <c r="D19" s="76"/>
      <c r="E19" s="77"/>
      <c r="F19" s="78"/>
      <c r="G19" s="79"/>
      <c r="H19" s="149"/>
      <c r="I19" s="68"/>
      <c r="J19" s="68"/>
      <c r="K19" s="213"/>
      <c r="L19" s="70"/>
      <c r="M19" s="70"/>
      <c r="N19" s="84"/>
      <c r="O19" s="67"/>
      <c r="P19" s="66"/>
      <c r="Q19" s="374"/>
      <c r="S19" s="27" t="str">
        <f>IF(G19="","",VLOOKUP(G19,'AUX2'!$C$62:$D$93,2,0))</f>
        <v/>
      </c>
      <c r="T19" s="27" t="str">
        <f>IF(S19="","",VLOOKUP(S19,'AUX2'!$D$62:$G$93,2,0))</f>
        <v/>
      </c>
      <c r="U19" s="27" t="str">
        <f>IF(S19="","",VLOOKUP(S19,'AUX2'!$D$81:$G$90,4,0))</f>
        <v/>
      </c>
      <c r="V19" s="361"/>
      <c r="W19" s="31" t="str">
        <f>IF(G19="","",VLOOKUP(G19,'AUX2'!$C$81:$G$90,2,0))</f>
        <v/>
      </c>
      <c r="X19" s="362" t="str">
        <f t="shared" si="13"/>
        <v/>
      </c>
      <c r="Y19" s="368">
        <f t="shared" si="3"/>
        <v>0</v>
      </c>
      <c r="Z19" s="368">
        <f t="shared" si="3"/>
        <v>0</v>
      </c>
      <c r="AA19" s="368">
        <f t="shared" si="3"/>
        <v>0</v>
      </c>
      <c r="AB19" s="368">
        <f t="shared" si="3"/>
        <v>0</v>
      </c>
      <c r="AC19" s="368" t="str">
        <f t="shared" si="4"/>
        <v/>
      </c>
      <c r="AD19" s="364" t="str">
        <f t="shared" si="12"/>
        <v/>
      </c>
      <c r="AG19" s="365" t="str">
        <f t="shared" si="5"/>
        <v/>
      </c>
      <c r="AH19" s="366" t="str">
        <f t="shared" si="6"/>
        <v/>
      </c>
      <c r="AI19" s="366">
        <f t="shared" si="7"/>
        <v>0</v>
      </c>
      <c r="AJ19" s="366">
        <f t="shared" si="8"/>
        <v>0</v>
      </c>
      <c r="AK19" s="366" t="str">
        <f t="shared" si="9"/>
        <v/>
      </c>
      <c r="AL19" s="366">
        <f t="shared" si="10"/>
        <v>0</v>
      </c>
      <c r="AN19" s="291" t="str">
        <f t="shared" si="11"/>
        <v/>
      </c>
      <c r="AO19" s="392"/>
      <c r="BM19"/>
      <c r="BN19"/>
      <c r="BO19"/>
      <c r="BP19"/>
    </row>
    <row r="20" spans="2:68" s="18" customFormat="1" ht="15.75" thickBot="1" x14ac:dyDescent="0.3">
      <c r="B20" s="65">
        <v>13</v>
      </c>
      <c r="C20" s="367" t="str">
        <f t="shared" si="0"/>
        <v/>
      </c>
      <c r="D20" s="76"/>
      <c r="E20" s="77"/>
      <c r="F20" s="78"/>
      <c r="G20" s="79"/>
      <c r="H20" s="149"/>
      <c r="I20" s="68"/>
      <c r="J20" s="68"/>
      <c r="K20" s="213"/>
      <c r="L20" s="70"/>
      <c r="M20" s="70"/>
      <c r="N20" s="84"/>
      <c r="O20" s="67"/>
      <c r="P20" s="66"/>
      <c r="Q20" s="374"/>
      <c r="S20" s="27" t="str">
        <f>IF(G20="","",VLOOKUP(G20,'AUX2'!$C$62:$D$93,2,0))</f>
        <v/>
      </c>
      <c r="T20" s="27" t="str">
        <f>IF(S20="","",VLOOKUP(S20,'AUX2'!$D$62:$G$93,2,0))</f>
        <v/>
      </c>
      <c r="U20" s="27" t="str">
        <f>IF(S20="","",VLOOKUP(S20,'AUX2'!$D$81:$G$90,4,0))</f>
        <v/>
      </c>
      <c r="V20" s="361"/>
      <c r="W20" s="31" t="str">
        <f>IF(G20="","",VLOOKUP(G20,'AUX2'!$C$81:$G$90,2,0))</f>
        <v/>
      </c>
      <c r="X20" s="362" t="str">
        <f t="shared" si="13"/>
        <v/>
      </c>
      <c r="Y20" s="368">
        <f t="shared" si="3"/>
        <v>0</v>
      </c>
      <c r="Z20" s="368">
        <f t="shared" si="3"/>
        <v>0</v>
      </c>
      <c r="AA20" s="368">
        <f t="shared" si="3"/>
        <v>0</v>
      </c>
      <c r="AB20" s="368">
        <f t="shared" si="3"/>
        <v>0</v>
      </c>
      <c r="AC20" s="368" t="str">
        <f t="shared" si="4"/>
        <v/>
      </c>
      <c r="AD20" s="364" t="str">
        <f t="shared" si="12"/>
        <v/>
      </c>
      <c r="AG20" s="365" t="str">
        <f t="shared" si="5"/>
        <v/>
      </c>
      <c r="AH20" s="366" t="str">
        <f t="shared" si="6"/>
        <v/>
      </c>
      <c r="AI20" s="366">
        <f t="shared" si="7"/>
        <v>0</v>
      </c>
      <c r="AJ20" s="366">
        <f t="shared" si="8"/>
        <v>0</v>
      </c>
      <c r="AK20" s="366" t="str">
        <f t="shared" si="9"/>
        <v/>
      </c>
      <c r="AL20" s="366">
        <f t="shared" si="10"/>
        <v>0</v>
      </c>
      <c r="AN20" s="291" t="str">
        <f t="shared" si="11"/>
        <v/>
      </c>
      <c r="AO20" s="392"/>
      <c r="BM20"/>
      <c r="BN20"/>
      <c r="BO20"/>
      <c r="BP20"/>
    </row>
    <row r="21" spans="2:68" s="18" customFormat="1" ht="15.75" thickBot="1" x14ac:dyDescent="0.3">
      <c r="B21" s="65">
        <v>14</v>
      </c>
      <c r="C21" s="367" t="str">
        <f t="shared" si="0"/>
        <v/>
      </c>
      <c r="D21" s="76"/>
      <c r="E21" s="77"/>
      <c r="F21" s="78"/>
      <c r="G21" s="79"/>
      <c r="H21" s="149"/>
      <c r="I21" s="68"/>
      <c r="J21" s="68"/>
      <c r="K21" s="213"/>
      <c r="L21" s="70"/>
      <c r="M21" s="70"/>
      <c r="N21" s="84"/>
      <c r="O21" s="67"/>
      <c r="P21" s="66"/>
      <c r="Q21" s="374"/>
      <c r="S21" s="27" t="str">
        <f>IF(G21="","",VLOOKUP(G21,'AUX2'!$C$62:$D$93,2,0))</f>
        <v/>
      </c>
      <c r="T21" s="27" t="str">
        <f>IF(S21="","",VLOOKUP(S21,'AUX2'!$D$62:$G$93,2,0))</f>
        <v/>
      </c>
      <c r="U21" s="27" t="str">
        <f>IF(S21="","",VLOOKUP(S21,'AUX2'!$D$81:$G$90,4,0))</f>
        <v/>
      </c>
      <c r="V21" s="361"/>
      <c r="W21" s="31" t="str">
        <f>IF(G21="","",VLOOKUP(G21,'AUX2'!$C$81:$G$90,2,0))</f>
        <v/>
      </c>
      <c r="X21" s="362" t="str">
        <f t="shared" si="13"/>
        <v/>
      </c>
      <c r="Y21" s="368">
        <f t="shared" si="3"/>
        <v>0</v>
      </c>
      <c r="Z21" s="368">
        <f t="shared" si="3"/>
        <v>0</v>
      </c>
      <c r="AA21" s="368">
        <f t="shared" si="3"/>
        <v>0</v>
      </c>
      <c r="AB21" s="368">
        <f t="shared" si="3"/>
        <v>0</v>
      </c>
      <c r="AC21" s="368" t="str">
        <f t="shared" si="4"/>
        <v/>
      </c>
      <c r="AD21" s="364" t="str">
        <f t="shared" si="12"/>
        <v/>
      </c>
      <c r="AG21" s="365" t="str">
        <f t="shared" si="5"/>
        <v/>
      </c>
      <c r="AH21" s="366" t="str">
        <f t="shared" si="6"/>
        <v/>
      </c>
      <c r="AI21" s="366">
        <f t="shared" si="7"/>
        <v>0</v>
      </c>
      <c r="AJ21" s="366">
        <f t="shared" si="8"/>
        <v>0</v>
      </c>
      <c r="AK21" s="366" t="str">
        <f t="shared" si="9"/>
        <v/>
      </c>
      <c r="AL21" s="366">
        <f t="shared" si="10"/>
        <v>0</v>
      </c>
      <c r="AN21" s="291" t="str">
        <f t="shared" si="11"/>
        <v/>
      </c>
      <c r="AO21" s="392"/>
      <c r="BM21"/>
      <c r="BN21"/>
      <c r="BO21"/>
      <c r="BP21"/>
    </row>
    <row r="22" spans="2:68" s="18" customFormat="1" ht="15.75" thickBot="1" x14ac:dyDescent="0.3">
      <c r="B22" s="65">
        <v>15</v>
      </c>
      <c r="C22" s="367" t="str">
        <f t="shared" si="0"/>
        <v/>
      </c>
      <c r="D22" s="76"/>
      <c r="E22" s="77"/>
      <c r="F22" s="78"/>
      <c r="G22" s="79"/>
      <c r="H22" s="149"/>
      <c r="I22" s="68"/>
      <c r="J22" s="68"/>
      <c r="K22" s="213"/>
      <c r="L22" s="70"/>
      <c r="M22" s="70"/>
      <c r="N22" s="84"/>
      <c r="O22" s="67"/>
      <c r="P22" s="66"/>
      <c r="Q22" s="374"/>
      <c r="S22" s="27" t="str">
        <f>IF(G22="","",VLOOKUP(G22,'AUX2'!$C$62:$D$93,2,0))</f>
        <v/>
      </c>
      <c r="T22" s="27" t="str">
        <f>IF(S22="","",VLOOKUP(S22,'AUX2'!$D$62:$G$93,2,0))</f>
        <v/>
      </c>
      <c r="U22" s="27" t="str">
        <f>IF(S22="","",VLOOKUP(S22,'AUX2'!$D$81:$G$90,4,0))</f>
        <v/>
      </c>
      <c r="V22" s="361"/>
      <c r="W22" s="31" t="str">
        <f>IF(G22="","",VLOOKUP(G22,'AUX2'!$C$81:$G$90,2,0))</f>
        <v/>
      </c>
      <c r="X22" s="362" t="str">
        <f t="shared" si="13"/>
        <v/>
      </c>
      <c r="Y22" s="368">
        <f t="shared" si="3"/>
        <v>0</v>
      </c>
      <c r="Z22" s="368">
        <f t="shared" si="3"/>
        <v>0</v>
      </c>
      <c r="AA22" s="368">
        <f t="shared" si="3"/>
        <v>0</v>
      </c>
      <c r="AB22" s="368">
        <f t="shared" si="3"/>
        <v>0</v>
      </c>
      <c r="AC22" s="368" t="str">
        <f t="shared" si="4"/>
        <v/>
      </c>
      <c r="AD22" s="364" t="str">
        <f t="shared" si="12"/>
        <v/>
      </c>
      <c r="AG22" s="365" t="str">
        <f t="shared" si="5"/>
        <v/>
      </c>
      <c r="AH22" s="366" t="str">
        <f t="shared" si="6"/>
        <v/>
      </c>
      <c r="AI22" s="366">
        <f t="shared" si="7"/>
        <v>0</v>
      </c>
      <c r="AJ22" s="366">
        <f t="shared" si="8"/>
        <v>0</v>
      </c>
      <c r="AK22" s="366" t="str">
        <f t="shared" si="9"/>
        <v/>
      </c>
      <c r="AL22" s="366">
        <f t="shared" si="10"/>
        <v>0</v>
      </c>
      <c r="AN22" s="369" t="str">
        <f t="shared" si="11"/>
        <v/>
      </c>
      <c r="AO22" s="392"/>
      <c r="BM22"/>
      <c r="BN22"/>
      <c r="BO22"/>
      <c r="BP22"/>
    </row>
    <row r="23" spans="2:68" s="18" customFormat="1" ht="15.75" thickBot="1" x14ac:dyDescent="0.3">
      <c r="G23" s="11"/>
      <c r="X23" s="30" t="s">
        <v>258</v>
      </c>
      <c r="Y23" s="28">
        <f>SUM(Y8:Y22)</f>
        <v>0</v>
      </c>
      <c r="Z23" s="28">
        <f t="shared" ref="Z23:AD23" si="14">SUM(Z8:Z22)</f>
        <v>0</v>
      </c>
      <c r="AA23" s="28">
        <f t="shared" si="14"/>
        <v>0</v>
      </c>
      <c r="AB23" s="28">
        <f t="shared" si="14"/>
        <v>0</v>
      </c>
      <c r="AC23" s="28">
        <f t="shared" si="14"/>
        <v>0</v>
      </c>
      <c r="AD23" s="28">
        <f t="shared" si="14"/>
        <v>0</v>
      </c>
      <c r="AH23" s="366">
        <f>SUM(AH8:AH22)</f>
        <v>0</v>
      </c>
      <c r="AI23" s="366">
        <f t="shared" ref="AI23:AN23" si="15">SUM(AI8:AI22)</f>
        <v>0</v>
      </c>
      <c r="AJ23" s="366">
        <f t="shared" si="15"/>
        <v>0</v>
      </c>
      <c r="AK23" s="366">
        <f t="shared" si="15"/>
        <v>0</v>
      </c>
      <c r="AL23" s="366">
        <f t="shared" si="15"/>
        <v>0</v>
      </c>
      <c r="AM23" s="366"/>
      <c r="AN23" s="370">
        <f t="shared" si="15"/>
        <v>0</v>
      </c>
      <c r="BM23"/>
      <c r="BN23"/>
      <c r="BO23"/>
      <c r="BP23"/>
    </row>
    <row r="24" spans="2:68" x14ac:dyDescent="0.25">
      <c r="Z24" s="22"/>
      <c r="AA24" s="22"/>
      <c r="AB24" s="22"/>
      <c r="AC24" s="22"/>
      <c r="AD24" s="22"/>
      <c r="AK24" s="371"/>
      <c r="AL24" s="371"/>
      <c r="AM24" s="371"/>
      <c r="AN24" s="371"/>
      <c r="AO24" s="371"/>
      <c r="AP24" s="371"/>
      <c r="AQ24" s="371"/>
      <c r="AR24" s="371"/>
      <c r="AS24" s="371"/>
      <c r="AT24" s="371"/>
      <c r="AU24" s="371"/>
      <c r="AV24" s="371"/>
      <c r="AW24" s="371"/>
      <c r="AX24" s="371"/>
      <c r="AY24" s="371"/>
      <c r="AZ24" s="371"/>
      <c r="BA24" s="371"/>
      <c r="BB24" s="371"/>
      <c r="BC24" s="371"/>
      <c r="BD24" s="371"/>
      <c r="BE24" s="371"/>
      <c r="BF24" s="371"/>
      <c r="BG24" s="371"/>
      <c r="BH24" s="371"/>
      <c r="BI24" s="371"/>
      <c r="BJ24" s="371"/>
      <c r="BK24" s="371"/>
      <c r="BL24" s="371"/>
      <c r="BM24" s="371"/>
      <c r="BN24" s="371"/>
      <c r="BO24" s="371"/>
      <c r="BP24" s="371"/>
    </row>
    <row r="25" spans="2:68" ht="15.75" thickBot="1" x14ac:dyDescent="0.3">
      <c r="Z25" s="372">
        <f>Y23+Z23</f>
        <v>0</v>
      </c>
      <c r="AA25" s="22"/>
      <c r="AB25" s="372">
        <f>AA23+AB23</f>
        <v>0</v>
      </c>
      <c r="AC25" s="372">
        <f>AC23</f>
        <v>0</v>
      </c>
      <c r="AD25" s="372">
        <f>AD23</f>
        <v>0</v>
      </c>
      <c r="AK25" s="371"/>
      <c r="AL25" s="371"/>
      <c r="AM25" s="371"/>
      <c r="AN25" s="371"/>
      <c r="AO25" s="371"/>
      <c r="AP25" s="371"/>
      <c r="AQ25" s="371"/>
      <c r="AR25" s="371"/>
      <c r="AS25" s="371"/>
      <c r="AT25" s="371"/>
      <c r="AU25" s="371"/>
      <c r="AV25" s="371"/>
      <c r="AW25" s="371"/>
      <c r="AX25" s="371"/>
      <c r="AY25" s="371"/>
      <c r="AZ25" s="371"/>
      <c r="BA25" s="371"/>
      <c r="BB25" s="371"/>
      <c r="BC25" s="371"/>
      <c r="BD25" s="371"/>
      <c r="BE25" s="371"/>
      <c r="BF25" s="371"/>
      <c r="BG25" s="371"/>
      <c r="BH25" s="371"/>
      <c r="BI25" s="371"/>
      <c r="BJ25" s="371"/>
      <c r="BK25" s="371"/>
      <c r="BL25" s="371"/>
      <c r="BM25" s="371"/>
      <c r="BN25" s="371"/>
      <c r="BO25" s="371"/>
      <c r="BP25" s="371"/>
    </row>
    <row r="26" spans="2:68" x14ac:dyDescent="0.25">
      <c r="Z26" s="29" t="s">
        <v>236</v>
      </c>
      <c r="AA26" s="29"/>
      <c r="AB26" s="29" t="s">
        <v>452</v>
      </c>
      <c r="AC26" s="29" t="s">
        <v>453</v>
      </c>
      <c r="AD26" s="29" t="s">
        <v>454</v>
      </c>
    </row>
    <row r="27" spans="2:68" x14ac:dyDescent="0.25">
      <c r="Y27" s="371"/>
    </row>
    <row r="1048554" spans="20:20" x14ac:dyDescent="0.25">
      <c r="T1048554" s="22">
        <f>SUM(T1:T1048553)</f>
        <v>0</v>
      </c>
    </row>
  </sheetData>
  <sheetProtection algorithmName="SHA-512" hashValue="3wvuG6nTeEiJB5ljW5m4zBpaAbSAYZI2EA5DOTOf0HFhqg3EW/0Yqb/SkHi06sjM5iDERoPJ2S006zEl1Vc8WQ==" saltValue="g4BmpVEWp5DWnMOaKmipkA==" spinCount="100000" sheet="1" objects="1" scenarios="1"/>
  <mergeCells count="15">
    <mergeCell ref="AO6:AO7"/>
    <mergeCell ref="AG6:AG7"/>
    <mergeCell ref="AH6:AL6"/>
    <mergeCell ref="AN6:AN7"/>
    <mergeCell ref="K6:K7"/>
    <mergeCell ref="Q6:Q7"/>
    <mergeCell ref="L6:M6"/>
    <mergeCell ref="N6:N7"/>
    <mergeCell ref="O6:O7"/>
    <mergeCell ref="P6:P7"/>
    <mergeCell ref="B6:B7"/>
    <mergeCell ref="C6:C7"/>
    <mergeCell ref="D6:F6"/>
    <mergeCell ref="I6:I7"/>
    <mergeCell ref="J6:J7"/>
  </mergeCells>
  <dataValidations count="4">
    <dataValidation type="decimal" allowBlank="1" showInputMessage="1" showErrorMessage="1" prompt="Para: 1-Não Executado = Informar 0%; 2-Em Execução = Informar de 1% a 99%; 3-Executado = Informar 100%; 4-Substituído = Preencher a Coluna &quot;Comentários/justificativas&quot;; 5-Cancelado = Preencher a Coluna &quot;Comentários/justificativas&quot;." sqref="E8:E22">
      <formula1>0</formula1>
      <formula2>1</formula2>
    </dataValidation>
    <dataValidation allowBlank="1" showInputMessage="1" showErrorMessage="1" prompt="Se, &quot;Situação dos Planos&quot;: 4-Substituído = Informe os dados do Plano Substituto (Ex. Quantidade de diárias, quilometragem, destino da viagem etc. neste campo, sem alterar os dados originais); 5-Cancelado = Justifique o cancelamento do Plano de Ação." sqref="F8:F22"/>
    <dataValidation allowBlank="1" showInputMessage="1" showErrorMessage="1" promptTitle="Estimativa de Custo" prompt="Previsão de Gasto para o Plano de Ação" sqref="N8:N22"/>
    <dataValidation type="list" allowBlank="1" showInputMessage="1" showErrorMessage="1" promptTitle="Situação dos Planos" prompt="Selecionar uma das opções da lista." sqref="D8:D22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Finalidade" prompt="Selecionar Opção">
          <x14:formula1>
            <xm:f>'AUX2'!$C$81:$C$90</xm:f>
          </x14:formula1>
          <xm:sqref>G8:G22</xm:sqref>
        </x14:dataValidation>
        <x14:dataValidation type="list" operator="equal" allowBlank="1" showInputMessage="1" showErrorMessage="1" promptTitle="Dimensões" prompt="Selecionar Opção">
          <x14:formula1>
            <xm:f>'AUX2'!$G$97:$G$103</xm:f>
          </x14:formula1>
          <xm:sqref>H8:H22</xm:sqref>
        </x14:dataValidation>
        <x14:dataValidation type="list" allowBlank="1" showInputMessage="1" showErrorMessage="1" error="Escolha o período na Lista Suspensa" promptTitle="Período de Execução" prompt="Espaço Temporal em que os Eventos/Atividades irão acontecer. Exemplo: Início em MARÇO e Final em MAIO - (Selecionar Opção)">
          <x14:formula1>
            <xm:f>'AUX2'!$J$97:$J$108</xm:f>
          </x14:formula1>
          <xm:sqref>L8:M22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1</vt:i4>
      </vt:variant>
    </vt:vector>
  </HeadingPairs>
  <TitlesOfParts>
    <vt:vector size="7" baseType="lpstr">
      <vt:lpstr>AUX2</vt:lpstr>
      <vt:lpstr>INSTRUÇÕES</vt:lpstr>
      <vt:lpstr>IDENTIFICAÇÃO</vt:lpstr>
      <vt:lpstr>VIAGENS e DESLOCAMENTOS</vt:lpstr>
      <vt:lpstr>EVENTOS</vt:lpstr>
      <vt:lpstr>FUNCIONAMENTO</vt:lpstr>
      <vt:lpstr>INSTRUÇÕES!Area_de_impressao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VALCI PEREIRA RIOS</dc:creator>
  <cp:lastModifiedBy>JOSE VALCI PEREIRA RIOS</cp:lastModifiedBy>
  <cp:lastPrinted>2024-09-02T14:44:51Z</cp:lastPrinted>
  <dcterms:created xsi:type="dcterms:W3CDTF">2022-07-11T14:30:03Z</dcterms:created>
  <dcterms:modified xsi:type="dcterms:W3CDTF">2024-09-04T14:11:53Z</dcterms:modified>
</cp:coreProperties>
</file>